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<sst xmlns="http://schemas.openxmlformats.org/spreadsheetml/2006/main" count="558" uniqueCount="503">
  <si>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</si>
  <si>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</si>
  <si>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</si>
  <si>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</si>
  <si>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</si>
  <si>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</si>
  <si>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</si>
  <si>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</si>
  <si>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</si>
  <si>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</si>
  <si>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</si>
  <si>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</si>
  <si>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</si>
  <si>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</si>
  <si>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</si>
  <si>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</si>
  <si>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</si>
  <si>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</si>
  <si>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</si>
  <si>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</si>
  <si>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</si>
  <si>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</si>
  <si>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</si>
  <si>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</si>
  <si>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</si>
  <si>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</si>
  <si>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</si>
  <si>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</si>
  <si>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</si>
  <si>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</si>
  <si>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</si>
  <si>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</si>
  <si>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</si>
  <si>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</si>
  <si>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</si>
  <si>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</si>
  <si>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</si>
  <si>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</si>
  <si>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</si>
  <si>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</si>
  <si>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</si>
  <si>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</si>
  <si>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</si>
  <si>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</si>
  <si>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</si>
  <si>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</si>
  <si>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</si>
  <si>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</si>
  <si>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</si>
  <si>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</si>
  <si>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</si>
  <si>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</si>
  <si>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</si>
  <si>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</si>
  <si>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</si>
  <si>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</si>
  <si>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</si>
  <si>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</si>
  <si>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</si>
  <si>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</si>
  <si>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</si>
  <si>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</si>
  <si>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</si>
  <si>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</si>
  <si>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</si>
  <si>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</si>
  <si>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</si>
  <si>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</si>
  <si>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</si>
  <si>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</si>
  <si>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</si>
  <si>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</si>
  <si>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</si>
  <si>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</si>
  <si>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</si>
  <si>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</si>
  <si>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</si>
  <si>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</si>
  <si>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</si>
  <si>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</si>
  <si>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</si>
  <si>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</si>
  <si>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</si>
  <si>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</si>
  <si>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</si>
  <si>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</si>
  <si>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</si>
  <si>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</si>
  <si>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</si>
  <si>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</si>
  <si>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</si>
  <si>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</si>
  <si>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</si>
  <si>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</si>
  <si>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</si>
  <si>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</si>
  <si>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</si>
  <si>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</si>
  <si>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</si>
  <si>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</si>
  <si>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</si>
  <si>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</si>
  <si>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</si>
  <si>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</si>
  <si>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</si>
  <si>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</si>
  <si>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</si>
  <si>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</si>
  <si>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</si>
  <si>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</si>
  <si>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</si>
  <si>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</si>
  <si>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</si>
  <si>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</si>
  <si>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</si>
  <si>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</si>
  <si>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</si>
  <si>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</si>
  <si>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</si>
  <si>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</si>
  <si>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</si>
  <si>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</si>
  <si>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</si>
  <si>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</si>
  <si>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</si>
  <si>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</si>
  <si>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</si>
  <si>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</si>
  <si>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</si>
  <si>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</si>
  <si>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</si>
  <si>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</si>
  <si>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</si>
  <si>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</si>
  <si>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</si>
  <si>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</si>
  <si>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</si>
  <si>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</si>
  <si>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</si>
  <si>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</si>
  <si>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</si>
  <si>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</si>
  <si>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</si>
  <si>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</si>
  <si>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</si>
  <si>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</si>
  <si>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</si>
  <si>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</si>
  <si>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</si>
  <si>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</si>
  <si>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</si>
  <si>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</si>
  <si>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</si>
  <si>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</si>
  <si>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</si>
  <si>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</si>
  <si>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</si>
  <si>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</si>
  <si>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</si>
  <si>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</si>
  <si>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</si>
  <si>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</si>
  <si>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</si>
  <si>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</si>
  <si>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</si>
  <si>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</si>
  <si>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</si>
  <si>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</si>
  <si>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</si>
  <si>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</si>
  <si>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</si>
  <si>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</si>
  <si>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</si>
  <si>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</si>
  <si>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</si>
  <si>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</si>
  <si>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</si>
  <si>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</si>
  <si>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</si>
  <si>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</si>
  <si>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</si>
  <si>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</si>
  <si>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</si>
  <si>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</si>
  <si>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</si>
  <si>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</si>
  <si>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</si>
  <si>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</si>
  <si>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</si>
  <si>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</si>
  <si>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</si>
  <si>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</si>
  <si>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</si>
  <si>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</si>
  <si>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</si>
  <si>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</si>
  <si>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</si>
  <si>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</si>
  <si>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</si>
  <si>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</si>
  <si>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</si>
  <si>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</si>
  <si>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</si>
  <si>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</si>
  <si>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</si>
  <si>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</si>
  <si>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</si>
  <si>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</si>
  <si>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</si>
  <si>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</si>
  <si>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</si>
  <si>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</si>
  <si>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</si>
  <si>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</si>
  <si>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</si>
  <si>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</si>
  <si>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</si>
  <si>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</si>
  <si>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</si>
  <si>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</si>
  <si>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</si>
  <si>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</si>
  <si>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</si>
  <si>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</si>
  <si>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</si>
  <si>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</si>
  <si>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</si>
  <si>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</si>
  <si>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</si>
  <si>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</si>
  <si>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</si>
  <si>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</si>
  <si>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</si>
  <si>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</si>
  <si>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</si>
  <si>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</si>
  <si>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</si>
  <si>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</si>
  <si>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</si>
  <si>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</si>
  <si>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</si>
  <si>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</si>
  <si>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</si>
  <si>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</si>
  <si>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</si>
  <si>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</si>
  <si>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</si>
  <si>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</si>
  <si>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</si>
  <si>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</si>
  <si>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</si>
  <si>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</si>
  <si>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</si>
  <si>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</si>
  <si>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</si>
  <si>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</si>
  <si>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</si>
  <si>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</si>
  <si>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</si>
  <si>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</si>
  <si>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</si>
  <si>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</si>
  <si>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</si>
  <si>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</si>
  <si>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</si>
  <si>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</si>
  <si>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</si>
  <si>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</si>
  <si>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</si>
  <si>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</si>
  <si>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</si>
  <si>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</si>
  <si>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</si>
  <si>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</si>
  <si>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</si>
  <si>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</si>
  <si>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</si>
  <si>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</si>
  <si>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</si>
  <si>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</si>
  <si>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</si>
  <si>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</si>
  <si>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</si>
  <si>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</si>
  <si>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</si>
  <si>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</si>
  <si>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</si>
  <si>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</si>
  <si>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</si>
  <si>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</si>
  <si>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</si>
  <si>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</si>
  <si>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</si>
  <si>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</si>
  <si>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</si>
  <si>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</si>
  <si>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</si>
  <si>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</si>
  <si>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</si>
  <si>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</si>
  <si>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</si>
  <si>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</si>
  <si>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</si>
  <si>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</si>
  <si>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</si>
  <si>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</si>
  <si>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</si>
  <si>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</si>
  <si>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</si>
  <si>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</si>
  <si>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</si>
  <si>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</si>
  <si>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</si>
  <si>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</si>
  <si>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</si>
  <si>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</si>
  <si>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</si>
  <si>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</si>
  <si>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</si>
  <si>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</si>
  <si>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</si>
  <si>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</si>
  <si>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</si>
  <si>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</si>
  <si>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</si>
  <si>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</si>
  <si>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</si>
  <si>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</si>
  <si>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</si>
  <si>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</si>
  <si>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</si>
  <si>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</si>
  <si>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</si>
  <si>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</si>
  <si>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</si>
  <si>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</si>
  <si>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</si>
  <si>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</si>
  <si>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</si>
  <si>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</si>
  <si>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</si>
  <si>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</si>
  <si>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</si>
  <si>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</si>
  <si>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</si>
  <si>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</si>
  <si>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</si>
  <si>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</si>
  <si>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</si>
  <si>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</si>
  <si>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</si>
  <si>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</si>
  <si>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</si>
  <si>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</si>
  <si>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</si>
  <si>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</si>
  <si>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</si>
  <si>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</si>
  <si>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</si>
  <si>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</si>
  <si>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</si>
  <si>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</si>
  <si>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</si>
  <si>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</si>
  <si>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</si>
  <si>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</si>
  <si>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</si>
  <si>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</si>
  <si>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</si>
  <si>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</si>
  <si>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</si>
  <si>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</si>
  <si>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</si>
  <si>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</si>
  <si>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</si>
  <si>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</si>
  <si>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</si>
  <si>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</si>
  <si>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</si>
  <si>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</si>
  <si>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</si>
  <si>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</si>
  <si>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</si>
  <si>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</si>
  <si>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</si>
  <si>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</si>
  <si>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</si>
  <si>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</si>
  <si>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</si>
  <si>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</si>
  <si>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</si>
  <si>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</si>
  <si>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</si>
  <si>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</si>
  <si>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</si>
  <si>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</si>
  <si>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</si>
  <si>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</si>
  <si>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</si>
  <si>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</si>
  <si>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</si>
  <si>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</si>
  <si>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</si>
  <si>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</si>
  <si>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</si>
  <si>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</si>
  <si>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</si>
  <si>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</si>
  <si>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</si>
  <si>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</si>
  <si>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</si>
  <si>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</si>
  <si>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</si>
  <si>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</si>
  <si>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</si>
  <si>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</si>
  <si>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</si>
  <si>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</si>
  <si>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</si>
  <si>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</si>
  <si>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</si>
  <si>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</si>
  <si>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</si>
  <si>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</si>
  <si>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</si>
  <si>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</si>
  <si>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</si>
  <si>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</si>
  <si>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</si>
  <si>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</si>
  <si>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</si>
  <si>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</si>
  <si>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</si>
  <si>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</si>
  <si>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</si>
  <si>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</si>
  <si>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</si>
  <si>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</si>
  <si>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</si>
  <si>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</si>
  <si>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</si>
  <si>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</si>
  <si>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</si>
  <si>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</si>
  <si>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</si>
  <si>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</si>
  <si>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</si>
  <si>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</si>
  <si>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</si>
  <si>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</si>
  <si>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</si>
  <si>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</si>
  <si>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</si>
  <si>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</si>
  <si>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</si>
  <si>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</si>
  <si>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</si>
  <si>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</si>
  <si>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</si>
  <si>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</si>
  <si>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</si>
  <si>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</si>
  <si>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</si>
  <si>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</si>
  <si>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</si>
  <si>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</si>
  <si>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</si>
  <si>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</si>
  <si>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</si>
  <si>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</si>
  <si>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</si>
  <si>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</si>
  <si>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</si>
  <si>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</si>
  <si>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</si>
  <si>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</si>
  <si>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</si>
  <si>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</si>
  <si>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</si>
  <si>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</si>
  <si>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</si>
  <si>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</si>
  <si>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</si>
  <si>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</si>
  <si>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</si>
  <si>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</si>
  <si>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</si>
  <si>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</si>
  <si>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</si>
  <si>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</si>
  <si>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</si>
  <si>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</si>
  <si>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</si>
  <si>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</si>
  <si>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DIRECTOR GENERAL-numire temporara,</t>
  </si>
  <si>
    <t>DIRECTOR ECONOMIC-cu delegare,</t>
  </si>
  <si>
    <t>CASA DE ASIGURARI DE SANATATE HUNEDOARA</t>
  </si>
  <si>
    <t xml:space="preserve">            Ec. Stoicescu Emilia</t>
  </si>
  <si>
    <t xml:space="preserve">                 Ec. Stoicescu Emilia</t>
  </si>
  <si>
    <t xml:space="preserve">          Dr. Ec. Cumpanasu Ecaterina</t>
  </si>
  <si>
    <t xml:space="preserve">         Dr. Ec. Cumpanasu Ecaterina</t>
  </si>
  <si>
    <t>CONT DE EXECUTIE CHELTUIELI NOIEMBRIE  2020</t>
  </si>
  <si>
    <t>CONT DE EXECUTIE VENITURI NOIEMBRIE 2020</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</si>
</sst>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0" fontId="8"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F7" activePane="bottomRight" state="frozen"/>
      <selection pane="topLeft" activeCell="C79" sqref="C79:E79"/>
      <selection pane="topRight" activeCell="C79" sqref="C79:E79"/>
      <selection pane="bottomLeft" activeCell="C79" sqref="C79:E79"/>
      <selection pane="bottomRight" activeCell="F7" sqref="F7"/>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0.5742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502</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1" t="s">
        <v>496</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464727580</v>
      </c>
      <c r="E7" s="86">
        <f>+E8+E64+E101+E91+E88</f>
        <v>0</v>
      </c>
      <c r="F7" s="86">
        <f>+F8+F64+F101+F91+F88</f>
        <v>303951701.21</v>
      </c>
      <c r="G7" s="86">
        <f>+G8+G64+G101+G91+G88</f>
        <v>26158971.76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342857000</v>
      </c>
      <c r="E8" s="86">
        <f>+E14+E51+E9</f>
        <v>0</v>
      </c>
      <c r="F8" s="86">
        <f>+F14+F51+F9</f>
        <v>304531243.21</v>
      </c>
      <c r="G8" s="86">
        <f>+G14+G51+G9</f>
        <v>25883065.76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718</v>
      </c>
      <c r="G9" s="86">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v>718</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342378000</v>
      </c>
      <c r="E14" s="86">
        <f>+E15+E27</f>
        <v>0</v>
      </c>
      <c r="F14" s="86">
        <f>+F15+F27</f>
        <v>304362189.31</v>
      </c>
      <c r="G14" s="86">
        <f>+G15+G27</f>
        <v>25874723.01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15188000</v>
      </c>
      <c r="E15" s="86">
        <f>+E16+E23+E26</f>
        <v>0</v>
      </c>
      <c r="F15" s="86">
        <f>+F16+F23+F26</f>
        <v>14359965.429999998</v>
      </c>
      <c r="G15" s="86">
        <f>+G16+G23+G26</f>
        <v>1237837.03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604000</v>
      </c>
      <c r="E16" s="86">
        <f>E17+E18+E20+E21+E22+E19</f>
        <v>0</v>
      </c>
      <c r="F16" s="86">
        <f>F17+F18+F20+F21+F22+F19</f>
        <v>435738</v>
      </c>
      <c r="G16" s="86">
        <f>G17+G18+G20+G21+G22+G19</f>
        <v>16349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604000</v>
      </c>
      <c r="E17" s="86"/>
      <c r="F17" s="45">
        <f>294105+125284+16349</f>
        <v>435738</v>
      </c>
      <c r="G17" s="45">
        <v>16349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38000</v>
      </c>
      <c r="E23" s="86">
        <f>E24+E25</f>
        <v>0</v>
      </c>
      <c r="F23" s="86">
        <f>F24+F25</f>
        <v>43313</v>
      </c>
      <c r="G23" s="86">
        <f>G24+G25</f>
        <v>1172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38000</v>
      </c>
      <c r="E24" s="86"/>
      <c r="F24" s="45">
        <f>27434+14707+1172</f>
        <v>43313</v>
      </c>
      <c r="G24" s="45">
        <v>1172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14546000</v>
      </c>
      <c r="E26" s="86"/>
      <c r="F26" s="45">
        <f>11356441.87+1304156.53+1220316.03</f>
        <v>13880914.429999998</v>
      </c>
      <c r="G26" s="45">
        <v>1220316.03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327190000</v>
      </c>
      <c r="E27" s="86">
        <f>E28+E34+E50+E35+E36+E37+E38+E39+E40+E41+E42+E43+E44+E45+E46+E47+E48+E49</f>
        <v>0</v>
      </c>
      <c r="F27" s="86">
        <f>F28+F34+F50+F35+F36+F37+F38+F39+F40+F41+F42+F43+F44+F45+F46+F47+F48+F49</f>
        <v>290002223.88</v>
      </c>
      <c r="G27" s="86">
        <f>G28+G34+G50+G35+G36+G37+G38+G39+G40+G41+G42+G43+G44+G45+G46+G47+G48+G49</f>
        <v>24636885.98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318225000</v>
      </c>
      <c r="E28" s="86">
        <f>E29+E30+E31+E32+E33</f>
        <v>0</v>
      </c>
      <c r="F28" s="86">
        <f>F29+F30+F31+F32+F33</f>
        <v>283366444</v>
      </c>
      <c r="G28" s="86">
        <f>G29+G30+G31+G32+G33</f>
        <v>24190875</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318225000</v>
      </c>
      <c r="E29" s="86"/>
      <c r="F29" s="45">
        <f>232062992+27577969+24184670</f>
        <v>283825631</v>
      </c>
      <c r="G29" s="45">
        <v>24184670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-536786+11435+5924</f>
        <v>-519427</v>
      </c>
      <c r="G30" s="45">
        <v>5924</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58351+1608+281</f>
        <v>60240</v>
      </c>
      <c r="G32" s="45">
        <v>281</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4000</v>
      </c>
      <c r="E36" s="86"/>
      <c r="F36" s="45">
        <f>3482+223+223</f>
        <v>3928</v>
      </c>
      <c r="G36" s="45">
        <v>223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v>221</v>
      </c>
      <c r="G37" s="45">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6000</v>
      </c>
      <c r="E42" s="86"/>
      <c r="F42" s="45">
        <f>23+666+1</f>
        <v>690</v>
      </c>
      <c r="G42" s="45">
        <v>1</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-27149-2203+2472</f>
        <v>-26880</v>
      </c>
      <c r="G43" s="45">
        <v>2472</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345000</v>
      </c>
      <c r="E44" s="86"/>
      <c r="F44" s="45">
        <f>263969-16010+14433</f>
        <v>262392</v>
      </c>
      <c r="G44" s="45">
        <v>14433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67000</v>
      </c>
      <c r="E45" s="86"/>
      <c r="F45" s="45">
        <f>52078+7130+5920</f>
        <v>65128</v>
      </c>
      <c r="G45" s="45">
        <v>5920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38.25" customHeight="1">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14000</v>
      </c>
      <c r="E48" s="86"/>
      <c r="F48" s="45">
        <f>83111+6240+6098</f>
        <v>95449</v>
      </c>
      <c r="G48" s="45">
        <v>6098</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8529000</v>
      </c>
      <c r="E49" s="86"/>
      <c r="F49" s="45">
        <f>5280993.5+536994.4+416863.98</f>
        <v>6234851.880000001</v>
      </c>
      <c r="G49" s="45">
        <v>416863.98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479000</v>
      </c>
      <c r="E51" s="86">
        <f>+E52+E57</f>
        <v>0</v>
      </c>
      <c r="F51" s="86">
        <f>+F52+F57</f>
        <v>168335.9</v>
      </c>
      <c r="G51" s="86">
        <f>+G52+G57</f>
        <v>8342.75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479000</v>
      </c>
      <c r="E57" s="86">
        <f>+E58+E62</f>
        <v>0</v>
      </c>
      <c r="F57" s="86">
        <f>+F58+F62</f>
        <v>168335.9</v>
      </c>
      <c r="G57" s="86">
        <f>+G58+G62</f>
        <v>8342.75</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479000</v>
      </c>
      <c r="E58" s="86">
        <f>E61+E59+E60</f>
        <v>0</v>
      </c>
      <c r="F58" s="86">
        <f>F61+F59+F60</f>
        <v>168335.9</v>
      </c>
      <c r="G58" s="86">
        <f>G61+G59+G60</f>
        <v>8342.75</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v>-2766</v>
      </c>
      <c r="G59" s="86">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479000</v>
      </c>
      <c r="E61" s="86"/>
      <c r="F61" s="45">
        <f>149522.56+13236.59+8342.75</f>
        <v>171101.9</v>
      </c>
      <c r="G61" s="45">
        <v>8342.75</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30">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121870580</v>
      </c>
      <c r="E64" s="86">
        <f>+E65</f>
        <v>0</v>
      </c>
      <c r="F64" s="86">
        <f>+F65</f>
        <v>25</v>
      </c>
      <c r="G64" s="86">
        <f>+G65</f>
        <v>26</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121870580</v>
      </c>
      <c r="E65" s="86">
        <f>+E66+E79</f>
        <v>0</v>
      </c>
      <c r="F65" s="86">
        <f>+F66+F79</f>
        <v>25</v>
      </c>
      <c r="G65" s="86">
        <f>+G66+G79</f>
        <v>26</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121870580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v>98310200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5040380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18520000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25</v>
      </c>
      <c r="G79" s="86">
        <f>+G80+G81+G82+G83+G84+G85+G86+G87</f>
        <v>26</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25</v>
      </c>
      <c r="G83" s="45">
        <v>26</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475</v>
      </c>
      <c r="B91" s="84" t="s">
        <v>169</v>
      </c>
      <c r="C91" s="86">
        <f>C92</f>
        <v>0</v>
      </c>
      <c r="D91" s="86">
        <f aca="true" t="shared" si="1" ref="D91:G92">D92</f>
        <v>0</v>
      </c>
      <c r="E91" s="86">
        <f t="shared" si="1"/>
        <v>0</v>
      </c>
      <c r="F91" s="86">
        <f t="shared" si="1"/>
        <v>0</v>
      </c>
      <c r="G91" s="86">
        <f t="shared" si="1"/>
        <v>0</v>
      </c>
      <c r="BN91" s="6"/>
    </row>
    <row r="92" spans="1:66" ht="15">
      <c r="A92" s="81" t="s">
        <v>476</v>
      </c>
      <c r="B92" s="83" t="s">
        <v>171</v>
      </c>
      <c r="C92" s="86">
        <f>C93</f>
        <v>0</v>
      </c>
      <c r="D92" s="86">
        <f t="shared" si="1"/>
        <v>0</v>
      </c>
      <c r="E92" s="86">
        <f t="shared" si="1"/>
        <v>0</v>
      </c>
      <c r="F92" s="86">
        <f t="shared" si="1"/>
        <v>0</v>
      </c>
      <c r="G92" s="86">
        <f t="shared" si="1"/>
        <v>0</v>
      </c>
      <c r="BN92" s="6"/>
    </row>
    <row r="93" spans="1:66" ht="15">
      <c r="A93" s="81" t="s">
        <v>477</v>
      </c>
      <c r="B93" s="83" t="s">
        <v>470</v>
      </c>
      <c r="C93" s="86"/>
      <c r="D93" s="86"/>
      <c r="E93" s="86"/>
      <c r="F93" s="45"/>
      <c r="G93" s="45"/>
      <c r="BN93" s="6"/>
    </row>
    <row r="94" spans="1:66" ht="30">
      <c r="A94" s="84" t="s">
        <v>478</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471</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479</v>
      </c>
      <c r="B98" s="83" t="s">
        <v>472</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480</v>
      </c>
      <c r="B99" s="83" t="s">
        <v>473</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481</v>
      </c>
      <c r="B100" s="83" t="s">
        <v>474</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-579567</v>
      </c>
      <c r="G101" s="86">
        <f>G102</f>
        <v>275880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-289982-565465+275880</f>
        <v>-579567</v>
      </c>
      <c r="G102" s="45">
        <v>275880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494</v>
      </c>
      <c r="C105" s="5"/>
      <c r="D105" s="46" t="s">
        <v>495</v>
      </c>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499</v>
      </c>
      <c r="C106" s="5"/>
      <c r="D106" s="46" t="s">
        <v>498</v>
      </c>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61:G61 F29:G50 F17:G22 F24:G26 F54:G54 F90:G90 D23:G23 D55:G55 C57:G57 C64:G65 D79:G79 F93:G93" name="Zonă1"/>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rintOptions/>
  <pageMargins left="0.75" right="0.75" top="1" bottom="1" header="0.5" footer="0.5"/>
  <pageSetup horizontalDpi="600" verticalDpi="600" orientation="portrait" scale="54" r:id="rId1"/>
  <rowBreaks count="1" manualBreakCount="1">
    <brk id="65" max="13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H219"/>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G7" sqref="G7"/>
    </sheetView>
  </sheetViews>
  <sheetFormatPr defaultColWidth="9.140625" defaultRowHeight="12.75"/>
  <cols>
    <col min="1" max="1" width="14.28125" style="1" customWidth="1"/>
    <col min="2" max="2" width="67.8515625" style="4" customWidth="1"/>
    <col min="3" max="3" width="7.8515625" style="4" customWidth="1"/>
    <col min="4" max="4" width="15.8515625" style="4" customWidth="1"/>
    <col min="5" max="5" width="17.00390625" style="4" customWidth="1"/>
    <col min="6" max="6" width="15.7109375" style="4" hidden="1" customWidth="1"/>
    <col min="7" max="7" width="17.57421875" style="4" customWidth="1"/>
    <col min="8" max="8" width="14.57421875" style="4" bestFit="1" customWidth="1"/>
    <col min="9" max="16384" width="9.140625" style="5" customWidth="1"/>
  </cols>
  <sheetData>
    <row r="1" spans="2:3" ht="17.25">
      <c r="B1" s="2" t="s">
        <v>501</v>
      </c>
      <c r="C1" s="3"/>
    </row>
    <row r="2" spans="2:3" ht="16.5">
      <c r="B2" s="101" t="s">
        <v>496</v>
      </c>
      <c r="C2" s="3"/>
    </row>
    <row r="3" spans="2:4" ht="15">
      <c r="B3" s="3"/>
      <c r="C3" s="3"/>
      <c r="D3" s="6"/>
    </row>
    <row r="4" spans="4:8" ht="15">
      <c r="D4" s="7"/>
      <c r="E4" s="7"/>
      <c r="F4" s="8"/>
      <c r="G4" s="9"/>
      <c r="H4" s="98" t="s">
        <v>469</v>
      </c>
    </row>
    <row r="5" spans="1:8" s="13" customFormat="1" ht="60">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873775620</v>
      </c>
      <c r="E7" s="87">
        <f t="shared" si="0"/>
        <v>845710300</v>
      </c>
      <c r="F7" s="87">
        <f t="shared" si="0"/>
        <v>196330</v>
      </c>
      <c r="G7" s="87">
        <f t="shared" si="0"/>
        <v>809856049.5</v>
      </c>
      <c r="H7" s="87">
        <f t="shared" si="0"/>
        <v>71312435.59</v>
      </c>
    </row>
    <row r="8" spans="1:8" s="19" customFormat="1" ht="15">
      <c r="A8" s="17" t="s">
        <v>202</v>
      </c>
      <c r="B8" s="20" t="s">
        <v>189</v>
      </c>
      <c r="C8" s="88">
        <f aca="true" t="shared" si="1" ref="C8:H8">+C9+C10+C13+C11+C12+C15+C176+C14</f>
        <v>0</v>
      </c>
      <c r="D8" s="88">
        <f t="shared" si="1"/>
        <v>873736620</v>
      </c>
      <c r="E8" s="88">
        <f t="shared" si="1"/>
        <v>845671300</v>
      </c>
      <c r="F8" s="88">
        <f t="shared" si="1"/>
        <v>171330</v>
      </c>
      <c r="G8" s="88">
        <f t="shared" si="1"/>
        <v>809856049.5</v>
      </c>
      <c r="H8" s="88">
        <f t="shared" si="1"/>
        <v>71312435.59</v>
      </c>
    </row>
    <row r="9" spans="1:8" s="19" customFormat="1" ht="15">
      <c r="A9" s="17" t="s">
        <v>204</v>
      </c>
      <c r="B9" s="20" t="s">
        <v>190</v>
      </c>
      <c r="C9" s="88">
        <f aca="true" t="shared" si="2" ref="C9:H9">+C23</f>
        <v>0</v>
      </c>
      <c r="D9" s="88">
        <f t="shared" si="2"/>
        <v>6165130</v>
      </c>
      <c r="E9" s="88">
        <f t="shared" si="2"/>
        <v>6165130</v>
      </c>
      <c r="F9" s="88">
        <f t="shared" si="2"/>
        <v>157330</v>
      </c>
      <c r="G9" s="88">
        <f t="shared" si="2"/>
        <v>5616051</v>
      </c>
      <c r="H9" s="88">
        <f t="shared" si="2"/>
        <v>503549</v>
      </c>
    </row>
    <row r="10" spans="1:8" s="19" customFormat="1" ht="16.5" customHeight="1">
      <c r="A10" s="17" t="s">
        <v>205</v>
      </c>
      <c r="B10" s="20" t="s">
        <v>191</v>
      </c>
      <c r="C10" s="88">
        <f aca="true" t="shared" si="3" ref="C10:H10">+C44</f>
        <v>0</v>
      </c>
      <c r="D10" s="88">
        <f t="shared" si="3"/>
        <v>555573910</v>
      </c>
      <c r="E10" s="88">
        <f t="shared" si="3"/>
        <v>527508590</v>
      </c>
      <c r="F10" s="88">
        <f t="shared" si="3"/>
        <v>14000</v>
      </c>
      <c r="G10" s="88">
        <f t="shared" si="3"/>
        <v>496534809.62</v>
      </c>
      <c r="H10" s="88">
        <f t="shared" si="3"/>
        <v>46028717.99000001</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C177</f>
        <v>0</v>
      </c>
      <c r="D12" s="88">
        <f t="shared" si="5"/>
        <v>270409640</v>
      </c>
      <c r="E12" s="88">
        <f t="shared" si="5"/>
        <v>270409640</v>
      </c>
      <c r="F12" s="88">
        <f t="shared" si="5"/>
        <v>0</v>
      </c>
      <c r="G12" s="88">
        <f t="shared" si="5"/>
        <v>269879764</v>
      </c>
      <c r="H12" s="88">
        <f t="shared" si="5"/>
        <v>24640216</v>
      </c>
    </row>
    <row r="13" spans="1:8" s="19" customFormat="1" ht="16.5" customHeight="1">
      <c r="A13" s="17" t="s">
        <v>209</v>
      </c>
      <c r="B13" s="20" t="s">
        <v>194</v>
      </c>
      <c r="C13" s="88">
        <f aca="true" t="shared" si="6" ref="C13:H13">C191</f>
        <v>0</v>
      </c>
      <c r="D13" s="88">
        <f t="shared" si="6"/>
        <v>41587940</v>
      </c>
      <c r="E13" s="88">
        <f t="shared" si="6"/>
        <v>41587940</v>
      </c>
      <c r="F13" s="88">
        <f t="shared" si="6"/>
        <v>0</v>
      </c>
      <c r="G13" s="88">
        <f t="shared" si="6"/>
        <v>38029705</v>
      </c>
      <c r="H13" s="88">
        <f t="shared" si="6"/>
        <v>142883</v>
      </c>
    </row>
    <row r="14" spans="1:8" s="19" customFormat="1" ht="30">
      <c r="A14" s="17" t="s">
        <v>211</v>
      </c>
      <c r="B14" s="20" t="s">
        <v>195</v>
      </c>
      <c r="C14" s="88">
        <f aca="true" t="shared" si="7" ref="C14:H14">C198</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0</v>
      </c>
      <c r="E15" s="88">
        <f t="shared" si="8"/>
        <v>0</v>
      </c>
      <c r="F15" s="88">
        <f t="shared" si="8"/>
        <v>0</v>
      </c>
      <c r="G15" s="88">
        <f t="shared" si="8"/>
        <v>0</v>
      </c>
      <c r="H15" s="88">
        <f t="shared" si="8"/>
        <v>0</v>
      </c>
    </row>
    <row r="16" spans="1:8" s="19" customFormat="1" ht="16.5" customHeight="1">
      <c r="A16" s="17" t="s">
        <v>215</v>
      </c>
      <c r="B16" s="20" t="s">
        <v>198</v>
      </c>
      <c r="C16" s="88">
        <f aca="true" t="shared" si="9" ref="C16:H17">C78</f>
        <v>0</v>
      </c>
      <c r="D16" s="88">
        <f t="shared" si="9"/>
        <v>39000</v>
      </c>
      <c r="E16" s="88">
        <f t="shared" si="9"/>
        <v>39000</v>
      </c>
      <c r="F16" s="88">
        <f t="shared" si="9"/>
        <v>25000</v>
      </c>
      <c r="G16" s="88">
        <f t="shared" si="9"/>
        <v>0</v>
      </c>
      <c r="H16" s="88">
        <f t="shared" si="9"/>
        <v>0</v>
      </c>
    </row>
    <row r="17" spans="1:8" s="19" customFormat="1" ht="15">
      <c r="A17" s="17" t="s">
        <v>217</v>
      </c>
      <c r="B17" s="20" t="s">
        <v>199</v>
      </c>
      <c r="C17" s="88">
        <f t="shared" si="9"/>
        <v>0</v>
      </c>
      <c r="D17" s="88">
        <f t="shared" si="9"/>
        <v>39000</v>
      </c>
      <c r="E17" s="88">
        <f t="shared" si="9"/>
        <v>39000</v>
      </c>
      <c r="F17" s="88">
        <f t="shared" si="9"/>
        <v>25000</v>
      </c>
      <c r="G17" s="88">
        <f t="shared" si="9"/>
        <v>0</v>
      </c>
      <c r="H17" s="88">
        <f t="shared" si="9"/>
        <v>0</v>
      </c>
    </row>
    <row r="18" spans="1:8" s="19" customFormat="1" ht="30">
      <c r="A18" s="17" t="s">
        <v>219</v>
      </c>
      <c r="B18" s="20" t="s">
        <v>201</v>
      </c>
      <c r="C18" s="88">
        <f aca="true" t="shared" si="10" ref="C18:H18">C176+C197</f>
        <v>0</v>
      </c>
      <c r="D18" s="88">
        <f t="shared" si="10"/>
        <v>0</v>
      </c>
      <c r="E18" s="88">
        <f t="shared" si="10"/>
        <v>0</v>
      </c>
      <c r="F18" s="88">
        <f t="shared" si="10"/>
        <v>0</v>
      </c>
      <c r="G18" s="88">
        <f t="shared" si="10"/>
        <v>-204280.12</v>
      </c>
      <c r="H18" s="88">
        <f t="shared" si="10"/>
        <v>-2930.4</v>
      </c>
    </row>
    <row r="19" spans="1:8" s="19" customFormat="1" ht="16.5" customHeight="1">
      <c r="A19" s="17" t="s">
        <v>221</v>
      </c>
      <c r="B19" s="20" t="s">
        <v>203</v>
      </c>
      <c r="C19" s="88">
        <f aca="true" t="shared" si="11" ref="C19:H19">+C20+C16</f>
        <v>0</v>
      </c>
      <c r="D19" s="88">
        <f t="shared" si="11"/>
        <v>873775620</v>
      </c>
      <c r="E19" s="88">
        <f t="shared" si="11"/>
        <v>845710300</v>
      </c>
      <c r="F19" s="88">
        <f t="shared" si="11"/>
        <v>196330</v>
      </c>
      <c r="G19" s="88">
        <f t="shared" si="11"/>
        <v>809856049.5</v>
      </c>
      <c r="H19" s="88">
        <f t="shared" si="11"/>
        <v>71312435.59</v>
      </c>
    </row>
    <row r="20" spans="1:8" s="19" customFormat="1" ht="15">
      <c r="A20" s="17" t="s">
        <v>223</v>
      </c>
      <c r="B20" s="20" t="s">
        <v>189</v>
      </c>
      <c r="C20" s="88">
        <f aca="true" t="shared" si="12" ref="C20:H20">C9+C10+C11+C12+C13+C15+C176+C14</f>
        <v>0</v>
      </c>
      <c r="D20" s="88">
        <f t="shared" si="12"/>
        <v>873736620</v>
      </c>
      <c r="E20" s="88">
        <f t="shared" si="12"/>
        <v>845671300</v>
      </c>
      <c r="F20" s="88">
        <f t="shared" si="12"/>
        <v>171330</v>
      </c>
      <c r="G20" s="88">
        <f t="shared" si="12"/>
        <v>809856049.5</v>
      </c>
      <c r="H20" s="88">
        <f t="shared" si="12"/>
        <v>71312435.59</v>
      </c>
    </row>
    <row r="21" spans="1:8" s="19" customFormat="1" ht="16.5" customHeight="1">
      <c r="A21" s="21" t="s">
        <v>225</v>
      </c>
      <c r="B21" s="20" t="s">
        <v>206</v>
      </c>
      <c r="C21" s="88">
        <f aca="true" t="shared" si="13" ref="C21:H21">+C22+C78+C176</f>
        <v>0</v>
      </c>
      <c r="D21" s="88">
        <f t="shared" si="13"/>
        <v>832187680</v>
      </c>
      <c r="E21" s="88">
        <f t="shared" si="13"/>
        <v>804122360</v>
      </c>
      <c r="F21" s="88">
        <f t="shared" si="13"/>
        <v>196330</v>
      </c>
      <c r="G21" s="88">
        <f t="shared" si="13"/>
        <v>771826344.5</v>
      </c>
      <c r="H21" s="88">
        <f t="shared" si="13"/>
        <v>71169552.59</v>
      </c>
    </row>
    <row r="22" spans="1:8" s="19" customFormat="1" ht="16.5" customHeight="1">
      <c r="A22" s="17" t="s">
        <v>227</v>
      </c>
      <c r="B22" s="20" t="s">
        <v>189</v>
      </c>
      <c r="C22" s="88">
        <f aca="true" t="shared" si="14" ref="C22:H22">+C23+C44+C72+C177+C75+C198</f>
        <v>0</v>
      </c>
      <c r="D22" s="88">
        <f t="shared" si="14"/>
        <v>832148680</v>
      </c>
      <c r="E22" s="88">
        <f t="shared" si="14"/>
        <v>804083360</v>
      </c>
      <c r="F22" s="88">
        <f t="shared" si="14"/>
        <v>171330</v>
      </c>
      <c r="G22" s="88">
        <f t="shared" si="14"/>
        <v>772030624.62</v>
      </c>
      <c r="H22" s="88">
        <f t="shared" si="14"/>
        <v>71172482.99000001</v>
      </c>
    </row>
    <row r="23" spans="1:8" s="19" customFormat="1" ht="15">
      <c r="A23" s="17" t="s">
        <v>229</v>
      </c>
      <c r="B23" s="20" t="s">
        <v>190</v>
      </c>
      <c r="C23" s="88">
        <f aca="true" t="shared" si="15" ref="C23:H23">+C24+C36+C34</f>
        <v>0</v>
      </c>
      <c r="D23" s="88">
        <f t="shared" si="15"/>
        <v>6165130</v>
      </c>
      <c r="E23" s="88">
        <f t="shared" si="15"/>
        <v>6165130</v>
      </c>
      <c r="F23" s="88">
        <f t="shared" si="15"/>
        <v>157330</v>
      </c>
      <c r="G23" s="88">
        <f t="shared" si="15"/>
        <v>5616051</v>
      </c>
      <c r="H23" s="88">
        <f t="shared" si="15"/>
        <v>503549</v>
      </c>
    </row>
    <row r="24" spans="1:8" s="19" customFormat="1" ht="16.5" customHeight="1">
      <c r="A24" s="17" t="s">
        <v>231</v>
      </c>
      <c r="B24" s="20" t="s">
        <v>210</v>
      </c>
      <c r="C24" s="88">
        <f aca="true" t="shared" si="16" ref="C24:H24">C25+C28+C29+C30+C32+C26+C27+C31</f>
        <v>0</v>
      </c>
      <c r="D24" s="88">
        <f t="shared" si="16"/>
        <v>5946970</v>
      </c>
      <c r="E24" s="88">
        <f t="shared" si="16"/>
        <v>5946970</v>
      </c>
      <c r="F24" s="88">
        <f t="shared" si="16"/>
        <v>20000</v>
      </c>
      <c r="G24" s="88">
        <f t="shared" si="16"/>
        <v>5409874</v>
      </c>
      <c r="H24" s="88">
        <f t="shared" si="16"/>
        <v>492173</v>
      </c>
    </row>
    <row r="25" spans="1:8" s="19" customFormat="1" ht="16.5" customHeight="1">
      <c r="A25" s="22" t="s">
        <v>233</v>
      </c>
      <c r="B25" s="23" t="s">
        <v>212</v>
      </c>
      <c r="C25" s="89"/>
      <c r="D25" s="90">
        <v>4870050</v>
      </c>
      <c r="E25" s="90">
        <v>4870050</v>
      </c>
      <c r="F25" s="90"/>
      <c r="G25" s="45">
        <f>3636027+416413+392224</f>
        <v>4444664</v>
      </c>
      <c r="H25" s="45">
        <v>392224</v>
      </c>
    </row>
    <row r="26" spans="1:8" s="19" customFormat="1" ht="15">
      <c r="A26" s="22" t="s">
        <v>235</v>
      </c>
      <c r="B26" s="23" t="s">
        <v>214</v>
      </c>
      <c r="C26" s="89"/>
      <c r="D26" s="90">
        <v>646300</v>
      </c>
      <c r="E26" s="90">
        <v>646300</v>
      </c>
      <c r="F26" s="90"/>
      <c r="G26" s="45">
        <f>483113+47194+52191</f>
        <v>582498</v>
      </c>
      <c r="H26" s="45">
        <v>52191</v>
      </c>
    </row>
    <row r="27" spans="1:8" s="19" customFormat="1" ht="15">
      <c r="A27" s="22" t="s">
        <v>237</v>
      </c>
      <c r="B27" s="23" t="s">
        <v>216</v>
      </c>
      <c r="C27" s="89"/>
      <c r="D27" s="90">
        <v>35860</v>
      </c>
      <c r="E27" s="90">
        <v>35860</v>
      </c>
      <c r="F27" s="90"/>
      <c r="G27" s="45">
        <f>25649+3274+2891</f>
        <v>31814</v>
      </c>
      <c r="H27" s="45">
        <v>2891</v>
      </c>
    </row>
    <row r="28" spans="1:8" s="19" customFormat="1" ht="16.5" customHeight="1">
      <c r="A28" s="22" t="s">
        <v>239</v>
      </c>
      <c r="B28" s="24" t="s">
        <v>218</v>
      </c>
      <c r="C28" s="89"/>
      <c r="D28" s="90">
        <v>11700</v>
      </c>
      <c r="E28" s="90">
        <v>11700</v>
      </c>
      <c r="F28" s="90">
        <v>13000</v>
      </c>
      <c r="G28" s="45">
        <f>7992+1036+888</f>
        <v>9916</v>
      </c>
      <c r="H28" s="45">
        <v>888</v>
      </c>
    </row>
    <row r="29" spans="1:8" s="19" customFormat="1" ht="16.5" customHeight="1">
      <c r="A29" s="22" t="s">
        <v>241</v>
      </c>
      <c r="B29" s="24" t="s">
        <v>220</v>
      </c>
      <c r="C29" s="89"/>
      <c r="D29" s="90">
        <v>7010</v>
      </c>
      <c r="E29" s="90">
        <v>7010</v>
      </c>
      <c r="F29" s="90">
        <v>7000</v>
      </c>
      <c r="G29" s="45">
        <f>3965+500</f>
        <v>4465</v>
      </c>
      <c r="H29" s="45">
        <v>500</v>
      </c>
    </row>
    <row r="30" spans="1:8" ht="16.5" customHeight="1">
      <c r="A30" s="22" t="s">
        <v>243</v>
      </c>
      <c r="B30" s="24" t="s">
        <v>222</v>
      </c>
      <c r="C30" s="89"/>
      <c r="D30" s="90"/>
      <c r="E30" s="90"/>
      <c r="F30" s="90"/>
      <c r="G30" s="45"/>
      <c r="H30" s="45"/>
    </row>
    <row r="31" spans="1:8" ht="16.5" customHeight="1">
      <c r="A31" s="22" t="s">
        <v>244</v>
      </c>
      <c r="B31" s="24" t="s">
        <v>224</v>
      </c>
      <c r="C31" s="89"/>
      <c r="D31" s="90">
        <v>207290</v>
      </c>
      <c r="E31" s="90">
        <v>207290</v>
      </c>
      <c r="F31" s="90"/>
      <c r="G31" s="45">
        <f>155926+15359+16733</f>
        <v>188018</v>
      </c>
      <c r="H31" s="45">
        <v>16733</v>
      </c>
    </row>
    <row r="32" spans="1:8" ht="16.5" customHeight="1">
      <c r="A32" s="22" t="s">
        <v>246</v>
      </c>
      <c r="B32" s="24" t="s">
        <v>226</v>
      </c>
      <c r="C32" s="89"/>
      <c r="D32" s="90">
        <v>168760</v>
      </c>
      <c r="E32" s="90">
        <v>168760</v>
      </c>
      <c r="F32" s="90"/>
      <c r="G32" s="45">
        <f>118259+3494+26746</f>
        <v>148499</v>
      </c>
      <c r="H32" s="45">
        <v>26746</v>
      </c>
    </row>
    <row r="33" spans="1:8" ht="16.5" customHeight="1">
      <c r="A33" s="22"/>
      <c r="B33" s="24" t="s">
        <v>228</v>
      </c>
      <c r="C33" s="89"/>
      <c r="D33" s="90">
        <v>2000</v>
      </c>
      <c r="E33" s="90">
        <v>2000</v>
      </c>
      <c r="F33" s="90"/>
      <c r="G33" s="45">
        <v>1990</v>
      </c>
      <c r="H33" s="45">
        <v>1990</v>
      </c>
    </row>
    <row r="34" spans="1:8" ht="16.5" customHeight="1">
      <c r="A34" s="22" t="s">
        <v>248</v>
      </c>
      <c r="B34" s="20" t="s">
        <v>230</v>
      </c>
      <c r="C34" s="89">
        <f aca="true" t="shared" si="17" ref="C34:H34">C35</f>
        <v>0</v>
      </c>
      <c r="D34" s="89">
        <f t="shared" si="17"/>
        <v>84100</v>
      </c>
      <c r="E34" s="89">
        <f t="shared" si="17"/>
        <v>84100</v>
      </c>
      <c r="F34" s="89">
        <f t="shared" si="17"/>
        <v>0</v>
      </c>
      <c r="G34" s="89">
        <f t="shared" si="17"/>
        <v>84100</v>
      </c>
      <c r="H34" s="89">
        <f t="shared" si="17"/>
        <v>0</v>
      </c>
    </row>
    <row r="35" spans="1:8" ht="16.5" customHeight="1">
      <c r="A35" s="22" t="s">
        <v>250</v>
      </c>
      <c r="B35" s="24" t="s">
        <v>232</v>
      </c>
      <c r="C35" s="89"/>
      <c r="D35" s="90">
        <v>84100</v>
      </c>
      <c r="E35" s="90">
        <v>84100</v>
      </c>
      <c r="F35" s="90"/>
      <c r="G35" s="45">
        <v>84100</v>
      </c>
      <c r="H35" s="45"/>
    </row>
    <row r="36" spans="1:8" ht="16.5" customHeight="1">
      <c r="A36" s="17" t="s">
        <v>252</v>
      </c>
      <c r="B36" s="20" t="s">
        <v>234</v>
      </c>
      <c r="C36" s="88">
        <f aca="true" t="shared" si="18" ref="C36:H36">+C37+C38+C39+C40+C41+C42+C43</f>
        <v>0</v>
      </c>
      <c r="D36" s="88">
        <f t="shared" si="18"/>
        <v>134060</v>
      </c>
      <c r="E36" s="88">
        <f t="shared" si="18"/>
        <v>134060</v>
      </c>
      <c r="F36" s="88">
        <f t="shared" si="18"/>
        <v>137330</v>
      </c>
      <c r="G36" s="88">
        <f t="shared" si="18"/>
        <v>122077</v>
      </c>
      <c r="H36" s="88">
        <f t="shared" si="18"/>
        <v>11376</v>
      </c>
    </row>
    <row r="37" spans="1:8" ht="16.5" customHeight="1">
      <c r="A37" s="22" t="s">
        <v>254</v>
      </c>
      <c r="B37" s="24" t="s">
        <v>236</v>
      </c>
      <c r="C37" s="89"/>
      <c r="D37" s="90">
        <v>320</v>
      </c>
      <c r="E37" s="90">
        <v>320</v>
      </c>
      <c r="F37" s="90"/>
      <c r="G37" s="45">
        <v>296</v>
      </c>
      <c r="H37" s="45">
        <v>296</v>
      </c>
    </row>
    <row r="38" spans="1:8" ht="16.5" customHeight="1">
      <c r="A38" s="22" t="s">
        <v>256</v>
      </c>
      <c r="B38" s="24" t="s">
        <v>238</v>
      </c>
      <c r="C38" s="89"/>
      <c r="D38" s="90">
        <v>10</v>
      </c>
      <c r="E38" s="90">
        <v>10</v>
      </c>
      <c r="F38" s="90"/>
      <c r="G38" s="45">
        <v>8</v>
      </c>
      <c r="H38" s="45">
        <v>8</v>
      </c>
    </row>
    <row r="39" spans="1:8" s="19" customFormat="1" ht="16.5" customHeight="1">
      <c r="A39" s="22" t="s">
        <v>258</v>
      </c>
      <c r="B39" s="24" t="s">
        <v>240</v>
      </c>
      <c r="C39" s="89"/>
      <c r="D39" s="90">
        <v>100</v>
      </c>
      <c r="E39" s="90">
        <v>100</v>
      </c>
      <c r="F39" s="90"/>
      <c r="G39" s="45">
        <v>97</v>
      </c>
      <c r="H39" s="45">
        <v>97</v>
      </c>
    </row>
    <row r="40" spans="1:8" ht="16.5" customHeight="1">
      <c r="A40" s="22" t="s">
        <v>260</v>
      </c>
      <c r="B40" s="25" t="s">
        <v>242</v>
      </c>
      <c r="C40" s="89"/>
      <c r="D40" s="90">
        <v>10</v>
      </c>
      <c r="E40" s="90">
        <v>10</v>
      </c>
      <c r="F40" s="90"/>
      <c r="G40" s="45">
        <v>4</v>
      </c>
      <c r="H40" s="45">
        <v>4</v>
      </c>
    </row>
    <row r="41" spans="1:8" ht="16.5" customHeight="1">
      <c r="A41" s="22" t="s">
        <v>262</v>
      </c>
      <c r="B41" s="25" t="s">
        <v>41</v>
      </c>
      <c r="C41" s="89"/>
      <c r="D41" s="90">
        <v>20</v>
      </c>
      <c r="E41" s="90">
        <v>20</v>
      </c>
      <c r="F41" s="90"/>
      <c r="G41" s="45">
        <v>16</v>
      </c>
      <c r="H41" s="45">
        <v>16</v>
      </c>
    </row>
    <row r="42" spans="1:8" ht="16.5" customHeight="1">
      <c r="A42" s="22" t="s">
        <v>264</v>
      </c>
      <c r="B42" s="25" t="s">
        <v>245</v>
      </c>
      <c r="C42" s="89"/>
      <c r="D42" s="90">
        <v>133600</v>
      </c>
      <c r="E42" s="90">
        <v>133600</v>
      </c>
      <c r="F42" s="90">
        <v>137330</v>
      </c>
      <c r="G42" s="45">
        <f>99614+11087+10955</f>
        <v>121656</v>
      </c>
      <c r="H42" s="45">
        <v>10955</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555573910</v>
      </c>
      <c r="E44" s="88">
        <f t="shared" si="19"/>
        <v>527508590</v>
      </c>
      <c r="F44" s="88">
        <f t="shared" si="19"/>
        <v>14000</v>
      </c>
      <c r="G44" s="88">
        <f t="shared" si="19"/>
        <v>496534809.62</v>
      </c>
      <c r="H44" s="88">
        <f t="shared" si="19"/>
        <v>46028717.99000001</v>
      </c>
    </row>
    <row r="45" spans="1:8" ht="16.5" customHeight="1">
      <c r="A45" s="17" t="s">
        <v>270</v>
      </c>
      <c r="B45" s="20" t="s">
        <v>249</v>
      </c>
      <c r="C45" s="88">
        <f aca="true" t="shared" si="20" ref="C45:H45">+C46+C47+C48+C49+C50+C51+C52+C53+C55</f>
        <v>0</v>
      </c>
      <c r="D45" s="88">
        <f t="shared" si="20"/>
        <v>555532910</v>
      </c>
      <c r="E45" s="88">
        <f t="shared" si="20"/>
        <v>527467590</v>
      </c>
      <c r="F45" s="88">
        <f t="shared" si="20"/>
        <v>14000</v>
      </c>
      <c r="G45" s="88">
        <f t="shared" si="20"/>
        <v>496522432.20000005</v>
      </c>
      <c r="H45" s="88">
        <f t="shared" si="20"/>
        <v>46025540.730000004</v>
      </c>
    </row>
    <row r="46" spans="1:8" s="19" customFormat="1" ht="16.5" customHeight="1">
      <c r="A46" s="22" t="s">
        <v>272</v>
      </c>
      <c r="B46" s="24" t="s">
        <v>251</v>
      </c>
      <c r="C46" s="89"/>
      <c r="D46" s="90">
        <v>96000</v>
      </c>
      <c r="E46" s="90">
        <v>96000</v>
      </c>
      <c r="F46" s="90"/>
      <c r="G46" s="45">
        <f>65213.71+10676.14+5654.07</f>
        <v>81543.92000000001</v>
      </c>
      <c r="H46" s="45">
        <v>5654.07</v>
      </c>
    </row>
    <row r="47" spans="1:8" s="19" customFormat="1" ht="16.5" customHeight="1">
      <c r="A47" s="22" t="s">
        <v>274</v>
      </c>
      <c r="B47" s="24" t="s">
        <v>253</v>
      </c>
      <c r="C47" s="89"/>
      <c r="D47" s="90"/>
      <c r="E47" s="90"/>
      <c r="F47" s="90"/>
      <c r="G47" s="45"/>
      <c r="H47" s="45"/>
    </row>
    <row r="48" spans="1:8" ht="16.5" customHeight="1">
      <c r="A48" s="22" t="s">
        <v>276</v>
      </c>
      <c r="B48" s="24" t="s">
        <v>255</v>
      </c>
      <c r="C48" s="89"/>
      <c r="D48" s="90">
        <v>94000</v>
      </c>
      <c r="E48" s="90">
        <v>94000</v>
      </c>
      <c r="F48" s="90"/>
      <c r="G48" s="45">
        <f>64252.77+3561.37+8576.02</f>
        <v>76390.16</v>
      </c>
      <c r="H48" s="45">
        <v>8576.02</v>
      </c>
    </row>
    <row r="49" spans="1:8" ht="16.5" customHeight="1">
      <c r="A49" s="22" t="s">
        <v>278</v>
      </c>
      <c r="B49" s="24" t="s">
        <v>257</v>
      </c>
      <c r="C49" s="89"/>
      <c r="D49" s="90">
        <v>15000</v>
      </c>
      <c r="E49" s="90">
        <v>15000</v>
      </c>
      <c r="F49" s="90">
        <v>14000</v>
      </c>
      <c r="G49" s="45">
        <f>10700.06+1131.41+1381.64</f>
        <v>13213.109999999999</v>
      </c>
      <c r="H49" s="45">
        <v>1381.64</v>
      </c>
    </row>
    <row r="50" spans="1:8" ht="16.5" customHeight="1">
      <c r="A50" s="22" t="s">
        <v>280</v>
      </c>
      <c r="B50" s="24" t="s">
        <v>259</v>
      </c>
      <c r="C50" s="89"/>
      <c r="D50" s="90">
        <v>11000</v>
      </c>
      <c r="E50" s="90">
        <v>11000</v>
      </c>
      <c r="F50" s="90"/>
      <c r="G50" s="45">
        <v>7000</v>
      </c>
      <c r="H50" s="45"/>
    </row>
    <row r="51" spans="1:8" ht="16.5" customHeight="1">
      <c r="A51" s="22" t="s">
        <v>282</v>
      </c>
      <c r="B51" s="24" t="s">
        <v>261</v>
      </c>
      <c r="C51" s="89"/>
      <c r="D51" s="90">
        <v>8000</v>
      </c>
      <c r="E51" s="90">
        <v>8000</v>
      </c>
      <c r="F51" s="90"/>
      <c r="G51" s="45">
        <v>1758</v>
      </c>
      <c r="H51" s="45"/>
    </row>
    <row r="52" spans="1:8" ht="16.5" customHeight="1">
      <c r="A52" s="22" t="s">
        <v>284</v>
      </c>
      <c r="B52" s="24" t="s">
        <v>263</v>
      </c>
      <c r="C52" s="89"/>
      <c r="D52" s="90">
        <v>67000</v>
      </c>
      <c r="E52" s="90">
        <v>67000</v>
      </c>
      <c r="F52" s="90"/>
      <c r="G52" s="45">
        <f>48100+6058.52+5190.84</f>
        <v>59349.36</v>
      </c>
      <c r="H52" s="45">
        <v>5190.84</v>
      </c>
    </row>
    <row r="53" spans="1:8" ht="16.5" customHeight="1">
      <c r="A53" s="17" t="s">
        <v>286</v>
      </c>
      <c r="B53" s="20" t="s">
        <v>265</v>
      </c>
      <c r="C53" s="91">
        <f aca="true" t="shared" si="21" ref="C53:H53">+C54+C89</f>
        <v>0</v>
      </c>
      <c r="D53" s="91">
        <f t="shared" si="21"/>
        <v>555195380</v>
      </c>
      <c r="E53" s="91">
        <f t="shared" si="21"/>
        <v>527130060</v>
      </c>
      <c r="F53" s="91">
        <f t="shared" si="21"/>
        <v>0</v>
      </c>
      <c r="G53" s="91">
        <f t="shared" si="21"/>
        <v>496265277.26000005</v>
      </c>
      <c r="H53" s="91">
        <f t="shared" si="21"/>
        <v>46004738.160000004</v>
      </c>
    </row>
    <row r="54" spans="1:8" ht="16.5" customHeight="1">
      <c r="A54" s="27" t="s">
        <v>288</v>
      </c>
      <c r="B54" s="28" t="s">
        <v>267</v>
      </c>
      <c r="C54" s="92"/>
      <c r="D54" s="90">
        <v>475990</v>
      </c>
      <c r="E54" s="90">
        <v>475990</v>
      </c>
      <c r="F54" s="90"/>
      <c r="G54" s="45">
        <f>320990+39828.54+36859.23</f>
        <v>397677.76999999996</v>
      </c>
      <c r="H54" s="45">
        <v>36859.23</v>
      </c>
    </row>
    <row r="55" spans="1:8" s="19" customFormat="1" ht="16.5" customHeight="1">
      <c r="A55" s="22" t="s">
        <v>290</v>
      </c>
      <c r="B55" s="24" t="s">
        <v>269</v>
      </c>
      <c r="C55" s="89"/>
      <c r="D55" s="90">
        <v>46530</v>
      </c>
      <c r="E55" s="90">
        <v>46530</v>
      </c>
      <c r="F55" s="90"/>
      <c r="G55" s="45">
        <v>17900.39</v>
      </c>
      <c r="H55" s="45"/>
    </row>
    <row r="56" spans="1:8" s="26" customFormat="1" ht="16.5" customHeight="1">
      <c r="A56" s="22"/>
      <c r="B56" s="24" t="s">
        <v>271</v>
      </c>
      <c r="C56" s="89"/>
      <c r="D56" s="90">
        <v>13530</v>
      </c>
      <c r="E56" s="90">
        <v>13530</v>
      </c>
      <c r="F56" s="90"/>
      <c r="G56" s="45">
        <v>565.27</v>
      </c>
      <c r="H56" s="45"/>
    </row>
    <row r="57" spans="1:8" ht="16.5" customHeight="1">
      <c r="A57" s="22"/>
      <c r="B57" s="24" t="s">
        <v>273</v>
      </c>
      <c r="C57" s="89"/>
      <c r="D57" s="90">
        <v>33000</v>
      </c>
      <c r="E57" s="90">
        <v>33000</v>
      </c>
      <c r="F57" s="90"/>
      <c r="G57" s="45">
        <v>17335.12</v>
      </c>
      <c r="H57" s="45"/>
    </row>
    <row r="58" spans="1:8" s="19" customFormat="1" ht="16.5" customHeight="1">
      <c r="A58" s="17" t="s">
        <v>294</v>
      </c>
      <c r="B58" s="24" t="s">
        <v>275</v>
      </c>
      <c r="C58" s="89"/>
      <c r="D58" s="90">
        <v>20000</v>
      </c>
      <c r="E58" s="90">
        <v>20000</v>
      </c>
      <c r="F58" s="90"/>
      <c r="G58" s="45">
        <v>3377.2</v>
      </c>
      <c r="H58" s="45">
        <v>3377.2</v>
      </c>
    </row>
    <row r="59" spans="1:8" s="19" customFormat="1" ht="16.5" customHeight="1">
      <c r="A59" s="17" t="s">
        <v>296</v>
      </c>
      <c r="B59" s="20" t="s">
        <v>277</v>
      </c>
      <c r="C59" s="93">
        <f aca="true" t="shared" si="22" ref="C59:H59">+C60</f>
        <v>0</v>
      </c>
      <c r="D59" s="93">
        <f t="shared" si="22"/>
        <v>9000</v>
      </c>
      <c r="E59" s="93">
        <f t="shared" si="22"/>
        <v>9000</v>
      </c>
      <c r="F59" s="93">
        <f t="shared" si="22"/>
        <v>0</v>
      </c>
      <c r="G59" s="93">
        <f t="shared" si="22"/>
        <v>3550</v>
      </c>
      <c r="H59" s="93">
        <f t="shared" si="22"/>
        <v>0</v>
      </c>
    </row>
    <row r="60" spans="1:8" s="19" customFormat="1" ht="16.5" customHeight="1">
      <c r="A60" s="22" t="s">
        <v>298</v>
      </c>
      <c r="B60" s="24" t="s">
        <v>279</v>
      </c>
      <c r="C60" s="89"/>
      <c r="D60" s="90">
        <v>9000</v>
      </c>
      <c r="E60" s="90">
        <v>9000</v>
      </c>
      <c r="F60" s="90"/>
      <c r="G60" s="45">
        <f>2000+1550</f>
        <v>3550</v>
      </c>
      <c r="H60" s="45">
        <v>0</v>
      </c>
    </row>
    <row r="61" spans="1:8" s="19" customFormat="1" ht="16.5" customHeight="1">
      <c r="A61" s="17" t="s">
        <v>300</v>
      </c>
      <c r="B61" s="20" t="s">
        <v>281</v>
      </c>
      <c r="C61" s="88">
        <f aca="true" t="shared" si="23" ref="C61:H61">+C62+C63</f>
        <v>0</v>
      </c>
      <c r="D61" s="88">
        <f t="shared" si="23"/>
        <v>8000</v>
      </c>
      <c r="E61" s="88">
        <f t="shared" si="23"/>
        <v>8000</v>
      </c>
      <c r="F61" s="88">
        <f t="shared" si="23"/>
        <v>0</v>
      </c>
      <c r="G61" s="88">
        <f t="shared" si="23"/>
        <v>3231.96</v>
      </c>
      <c r="H61" s="88">
        <f t="shared" si="23"/>
        <v>-204</v>
      </c>
    </row>
    <row r="62" spans="1:8" ht="16.5" customHeight="1">
      <c r="A62" s="17" t="s">
        <v>301</v>
      </c>
      <c r="B62" s="24" t="s">
        <v>283</v>
      </c>
      <c r="C62" s="89"/>
      <c r="D62" s="90">
        <v>8000</v>
      </c>
      <c r="E62" s="90">
        <v>8000</v>
      </c>
      <c r="F62" s="90"/>
      <c r="G62" s="45">
        <f>2935.96+500-204</f>
        <v>3231.96</v>
      </c>
      <c r="H62" s="45">
        <v>-204</v>
      </c>
    </row>
    <row r="63" spans="1:8" s="19" customFormat="1" ht="16.5" customHeight="1">
      <c r="A63" s="17" t="s">
        <v>303</v>
      </c>
      <c r="B63" s="24" t="s">
        <v>285</v>
      </c>
      <c r="C63" s="89"/>
      <c r="D63" s="90"/>
      <c r="E63" s="90"/>
      <c r="F63" s="90"/>
      <c r="G63" s="45"/>
      <c r="H63" s="45"/>
    </row>
    <row r="64" spans="1:8" ht="16.5" customHeight="1">
      <c r="A64" s="22" t="s">
        <v>305</v>
      </c>
      <c r="B64" s="24" t="s">
        <v>287</v>
      </c>
      <c r="C64" s="89"/>
      <c r="D64" s="90"/>
      <c r="E64" s="90"/>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4000</v>
      </c>
      <c r="E69" s="93">
        <f t="shared" si="24"/>
        <v>4000</v>
      </c>
      <c r="F69" s="93">
        <f t="shared" si="24"/>
        <v>0</v>
      </c>
      <c r="G69" s="93">
        <f t="shared" si="24"/>
        <v>2218.2599999999998</v>
      </c>
      <c r="H69" s="93">
        <f t="shared" si="24"/>
        <v>4.06</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4000</v>
      </c>
      <c r="E71" s="90">
        <v>4000</v>
      </c>
      <c r="F71" s="90"/>
      <c r="G71" s="94">
        <f>2214.2+4.06</f>
        <v>2218.2599999999998</v>
      </c>
      <c r="H71" s="94">
        <v>4.06</v>
      </c>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0</v>
      </c>
      <c r="E75" s="89">
        <f t="shared" si="26"/>
        <v>0</v>
      </c>
      <c r="F75" s="89">
        <f t="shared" si="26"/>
        <v>0</v>
      </c>
      <c r="G75" s="89">
        <f t="shared" si="26"/>
        <v>0</v>
      </c>
      <c r="H75" s="89">
        <f t="shared" si="2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aca="true" t="shared" si="27" ref="C78:H78">+C79</f>
        <v>0</v>
      </c>
      <c r="D78" s="88">
        <f t="shared" si="27"/>
        <v>39000</v>
      </c>
      <c r="E78" s="88">
        <f t="shared" si="27"/>
        <v>39000</v>
      </c>
      <c r="F78" s="88">
        <f t="shared" si="27"/>
        <v>25000</v>
      </c>
      <c r="G78" s="88">
        <f t="shared" si="27"/>
        <v>0</v>
      </c>
      <c r="H78" s="88">
        <f t="shared" si="27"/>
        <v>0</v>
      </c>
    </row>
    <row r="79" spans="1:8" s="19" customFormat="1" ht="16.5" customHeight="1">
      <c r="A79" s="17" t="s">
        <v>331</v>
      </c>
      <c r="B79" s="20" t="s">
        <v>199</v>
      </c>
      <c r="C79" s="88">
        <f aca="true" t="shared" si="28" ref="C79:H79">+C80+C85</f>
        <v>0</v>
      </c>
      <c r="D79" s="88">
        <f t="shared" si="28"/>
        <v>39000</v>
      </c>
      <c r="E79" s="88">
        <f t="shared" si="28"/>
        <v>39000</v>
      </c>
      <c r="F79" s="88">
        <f t="shared" si="28"/>
        <v>25000</v>
      </c>
      <c r="G79" s="88">
        <f t="shared" si="28"/>
        <v>0</v>
      </c>
      <c r="H79" s="88">
        <f t="shared" si="28"/>
        <v>0</v>
      </c>
    </row>
    <row r="80" spans="1:8" s="19" customFormat="1" ht="16.5" customHeight="1">
      <c r="A80" s="17" t="s">
        <v>333</v>
      </c>
      <c r="B80" s="20" t="s">
        <v>313</v>
      </c>
      <c r="C80" s="88">
        <f aca="true" t="shared" si="29" ref="C80:H80">+C82+C84+C83+C81</f>
        <v>0</v>
      </c>
      <c r="D80" s="88">
        <f t="shared" si="29"/>
        <v>39000</v>
      </c>
      <c r="E80" s="88">
        <f t="shared" si="29"/>
        <v>39000</v>
      </c>
      <c r="F80" s="88">
        <f t="shared" si="29"/>
        <v>25000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25000</v>
      </c>
      <c r="E82" s="90">
        <v>25000</v>
      </c>
      <c r="F82" s="90">
        <v>25000</v>
      </c>
      <c r="G82" s="45"/>
      <c r="H82" s="45"/>
    </row>
    <row r="83" spans="1:8" s="19" customFormat="1" ht="16.5" customHeight="1">
      <c r="A83" s="22" t="s">
        <v>339</v>
      </c>
      <c r="B83" s="23" t="s">
        <v>319</v>
      </c>
      <c r="C83" s="89"/>
      <c r="D83" s="90">
        <v>14000</v>
      </c>
      <c r="E83" s="90">
        <v>14000</v>
      </c>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+C44-C89+C23+C78+C177+C75</f>
        <v>0</v>
      </c>
      <c r="D87" s="87">
        <f t="shared" si="30"/>
        <v>277468290</v>
      </c>
      <c r="E87" s="87">
        <f t="shared" si="30"/>
        <v>277468290</v>
      </c>
      <c r="F87" s="87">
        <f t="shared" si="30"/>
        <v>196330</v>
      </c>
      <c r="G87" s="87">
        <f t="shared" si="30"/>
        <v>276163025.12999994</v>
      </c>
      <c r="H87" s="87">
        <f t="shared" si="30"/>
        <v>25204604.060000002</v>
      </c>
    </row>
    <row r="88" spans="1:8" ht="16.5" customHeight="1">
      <c r="A88" s="22"/>
      <c r="B88" s="24" t="s">
        <v>328</v>
      </c>
      <c r="C88" s="87"/>
      <c r="D88" s="90"/>
      <c r="E88" s="90"/>
      <c r="F88" s="90"/>
      <c r="G88" s="90"/>
      <c r="H88" s="90"/>
    </row>
    <row r="89" spans="1:8" ht="16.5" customHeight="1">
      <c r="A89" s="22" t="s">
        <v>347</v>
      </c>
      <c r="B89" s="20" t="s">
        <v>330</v>
      </c>
      <c r="C89" s="95">
        <f aca="true" t="shared" si="31" ref="C89:H89">+C90+C135+C159+C161+C172+C174</f>
        <v>0</v>
      </c>
      <c r="D89" s="95">
        <f t="shared" si="31"/>
        <v>554719390</v>
      </c>
      <c r="E89" s="95">
        <f t="shared" si="31"/>
        <v>526654070</v>
      </c>
      <c r="F89" s="95">
        <f t="shared" si="31"/>
        <v>0</v>
      </c>
      <c r="G89" s="95">
        <f t="shared" si="31"/>
        <v>495867599.49000007</v>
      </c>
      <c r="H89" s="95">
        <f t="shared" si="31"/>
        <v>45967878.93000001</v>
      </c>
    </row>
    <row r="90" spans="1:8" s="26" customFormat="1" ht="16.5" customHeight="1">
      <c r="A90" s="17" t="s">
        <v>349</v>
      </c>
      <c r="B90" s="20" t="s">
        <v>332</v>
      </c>
      <c r="C90" s="88">
        <f aca="true" t="shared" si="32" ref="C90:H90">+C91+C101+C115+C131+C133</f>
        <v>0</v>
      </c>
      <c r="D90" s="88">
        <f t="shared" si="32"/>
        <v>203143250</v>
      </c>
      <c r="E90" s="88">
        <f t="shared" si="32"/>
        <v>180335830</v>
      </c>
      <c r="F90" s="88">
        <f t="shared" si="32"/>
        <v>0</v>
      </c>
      <c r="G90" s="88">
        <f t="shared" si="32"/>
        <v>179664282.81000003</v>
      </c>
      <c r="H90" s="88">
        <f t="shared" si="32"/>
        <v>10570057.97</v>
      </c>
    </row>
    <row r="91" spans="1:8" s="26" customFormat="1" ht="16.5" customHeight="1">
      <c r="A91" s="22" t="s">
        <v>351</v>
      </c>
      <c r="B91" s="20" t="s">
        <v>334</v>
      </c>
      <c r="C91" s="87">
        <f aca="true" t="shared" si="33" ref="C91:H91">+C92+C98+C99+C93+C94</f>
        <v>0</v>
      </c>
      <c r="D91" s="87">
        <f t="shared" si="33"/>
        <v>89878640</v>
      </c>
      <c r="E91" s="87">
        <f t="shared" si="33"/>
        <v>80548410</v>
      </c>
      <c r="F91" s="87">
        <f t="shared" si="33"/>
        <v>0</v>
      </c>
      <c r="G91" s="87">
        <f t="shared" si="33"/>
        <v>80332920.95</v>
      </c>
      <c r="H91" s="87">
        <f t="shared" si="33"/>
        <v>313047.16</v>
      </c>
    </row>
    <row r="92" spans="1:8" s="26" customFormat="1" ht="16.5" customHeight="1">
      <c r="A92" s="22"/>
      <c r="B92" s="23" t="s">
        <v>336</v>
      </c>
      <c r="C92" s="89"/>
      <c r="D92" s="90">
        <v>85253000</v>
      </c>
      <c r="E92" s="90">
        <v>77519000</v>
      </c>
      <c r="F92" s="90"/>
      <c r="G92" s="45">
        <f>73009150+4509848.87</f>
        <v>77518998.87</v>
      </c>
      <c r="H92" s="45">
        <v>0</v>
      </c>
    </row>
    <row r="93" spans="1:8" s="26" customFormat="1" ht="16.5" customHeight="1">
      <c r="A93" s="22"/>
      <c r="B93" s="23" t="s">
        <v>338</v>
      </c>
      <c r="C93" s="89"/>
      <c r="D93" s="90"/>
      <c r="E93" s="90"/>
      <c r="F93" s="90"/>
      <c r="G93" s="45"/>
      <c r="H93" s="45"/>
    </row>
    <row r="94" spans="1:8" s="26" customFormat="1" ht="16.5" customHeight="1">
      <c r="A94" s="22"/>
      <c r="B94" s="100" t="s">
        <v>482</v>
      </c>
      <c r="C94" s="89">
        <f aca="true" t="shared" si="34" ref="C94:H94">C95+C96+C97</f>
        <v>0</v>
      </c>
      <c r="D94" s="89">
        <f t="shared" si="34"/>
        <v>2340640</v>
      </c>
      <c r="E94" s="89">
        <f t="shared" si="34"/>
        <v>738410</v>
      </c>
      <c r="F94" s="89">
        <f t="shared" si="34"/>
        <v>0</v>
      </c>
      <c r="G94" s="89">
        <f t="shared" si="34"/>
        <v>738088.1900000001</v>
      </c>
      <c r="H94" s="89">
        <f t="shared" si="34"/>
        <v>127108.19</v>
      </c>
    </row>
    <row r="95" spans="1:8" s="26" customFormat="1" ht="30">
      <c r="A95" s="22"/>
      <c r="B95" s="23" t="s">
        <v>483</v>
      </c>
      <c r="C95" s="89"/>
      <c r="D95" s="90">
        <v>2327600</v>
      </c>
      <c r="E95" s="90">
        <v>735300</v>
      </c>
      <c r="F95" s="90"/>
      <c r="G95" s="45">
        <f>541293.17+69686.83+124020.23</f>
        <v>735000.23</v>
      </c>
      <c r="H95" s="45">
        <v>124020.23</v>
      </c>
    </row>
    <row r="96" spans="1:8" s="26" customFormat="1" ht="60">
      <c r="A96" s="22"/>
      <c r="B96" s="23" t="s">
        <v>484</v>
      </c>
      <c r="C96" s="89"/>
      <c r="D96" s="90">
        <v>7240</v>
      </c>
      <c r="E96" s="90">
        <v>1730</v>
      </c>
      <c r="F96" s="90"/>
      <c r="G96" s="45">
        <v>1715.55</v>
      </c>
      <c r="H96" s="45">
        <v>1715.55</v>
      </c>
    </row>
    <row r="97" spans="1:8" s="26" customFormat="1" ht="45">
      <c r="A97" s="22"/>
      <c r="B97" s="23" t="s">
        <v>485</v>
      </c>
      <c r="C97" s="89"/>
      <c r="D97" s="90">
        <v>5800</v>
      </c>
      <c r="E97" s="90">
        <v>1380</v>
      </c>
      <c r="F97" s="90"/>
      <c r="G97" s="45">
        <v>1372.41</v>
      </c>
      <c r="H97" s="45">
        <v>1372.41</v>
      </c>
    </row>
    <row r="98" spans="1:8" s="26" customFormat="1" ht="16.5" customHeight="1">
      <c r="A98" s="22"/>
      <c r="B98" s="23" t="s">
        <v>341</v>
      </c>
      <c r="C98" s="89"/>
      <c r="D98" s="90">
        <v>202000</v>
      </c>
      <c r="E98" s="90">
        <v>202000</v>
      </c>
      <c r="F98" s="90"/>
      <c r="G98" s="45">
        <f>141312.59+15220.2+15331.36</f>
        <v>171864.15000000002</v>
      </c>
      <c r="H98" s="45">
        <v>15331.36</v>
      </c>
    </row>
    <row r="99" spans="1:8" s="26" customFormat="1" ht="45">
      <c r="A99" s="22"/>
      <c r="B99" s="23" t="s">
        <v>343</v>
      </c>
      <c r="C99" s="89"/>
      <c r="D99" s="90">
        <v>2083000</v>
      </c>
      <c r="E99" s="90">
        <v>2089000</v>
      </c>
      <c r="F99" s="90"/>
      <c r="G99" s="45">
        <f>1571674.39+161687.74+170607.61</f>
        <v>1903969.7399999998</v>
      </c>
      <c r="H99" s="45">
        <v>170607.61</v>
      </c>
    </row>
    <row r="100" spans="1:8" ht="15">
      <c r="A100" s="22"/>
      <c r="B100" s="24" t="s">
        <v>328</v>
      </c>
      <c r="C100" s="89"/>
      <c r="D100" s="90"/>
      <c r="E100" s="90"/>
      <c r="F100" s="90"/>
      <c r="G100" s="45"/>
      <c r="H100" s="45"/>
    </row>
    <row r="101" spans="1:8" ht="30">
      <c r="A101" s="22" t="s">
        <v>359</v>
      </c>
      <c r="B101" s="20" t="s">
        <v>345</v>
      </c>
      <c r="C101" s="89">
        <f aca="true" t="shared" si="35" ref="C101:H101">C102+C103+C104+C105+C106+C107+C109+C108+C110</f>
        <v>0</v>
      </c>
      <c r="D101" s="89">
        <f>D102+D103+D104+D105+D106+D107+D109+D108+D110</f>
        <v>78823730</v>
      </c>
      <c r="E101" s="89">
        <f>E102+E103+E104+E105+E106+E107+E109+E108+E110</f>
        <v>68851790</v>
      </c>
      <c r="F101" s="89">
        <f t="shared" si="35"/>
        <v>0</v>
      </c>
      <c r="G101" s="89">
        <f t="shared" si="35"/>
        <v>68851348.27000001</v>
      </c>
      <c r="H101" s="89">
        <f t="shared" si="35"/>
        <v>6871164.2</v>
      </c>
    </row>
    <row r="102" spans="1:8" ht="16.5" customHeight="1">
      <c r="A102" s="22"/>
      <c r="B102" s="23" t="s">
        <v>346</v>
      </c>
      <c r="C102" s="89"/>
      <c r="D102" s="90">
        <v>997210</v>
      </c>
      <c r="E102" s="4">
        <v>693620</v>
      </c>
      <c r="F102" s="90"/>
      <c r="G102" s="45">
        <f>527832.74+74122.22+91638.8</f>
        <v>693593.76</v>
      </c>
      <c r="H102" s="45">
        <v>91638.8</v>
      </c>
    </row>
    <row r="103" spans="1:8" ht="15">
      <c r="A103" s="22"/>
      <c r="B103" s="23" t="s">
        <v>348</v>
      </c>
      <c r="C103" s="89"/>
      <c r="D103" s="90"/>
      <c r="E103" s="90"/>
      <c r="F103" s="90"/>
      <c r="G103" s="45"/>
      <c r="H103" s="45"/>
    </row>
    <row r="104" spans="1:8" s="19" customFormat="1" ht="16.5" customHeight="1">
      <c r="A104" s="22"/>
      <c r="B104" s="23" t="s">
        <v>350</v>
      </c>
      <c r="C104" s="89"/>
      <c r="D104" s="90">
        <v>138850</v>
      </c>
      <c r="E104" s="90">
        <v>141960</v>
      </c>
      <c r="F104" s="90"/>
      <c r="G104" s="45">
        <f>76709.63+65250.37</f>
        <v>141960</v>
      </c>
      <c r="H104" s="45">
        <v>65250.37</v>
      </c>
    </row>
    <row r="105" spans="1:8" ht="16.5" customHeight="1">
      <c r="A105" s="22"/>
      <c r="B105" s="23" t="s">
        <v>352</v>
      </c>
      <c r="C105" s="89"/>
      <c r="D105" s="4">
        <v>36764510</v>
      </c>
      <c r="E105" s="90">
        <v>33088200</v>
      </c>
      <c r="F105" s="90"/>
      <c r="G105" s="45">
        <f>27034952.37+2857199.52+3196043.63</f>
        <v>33088195.52</v>
      </c>
      <c r="H105" s="45">
        <v>3196043.63</v>
      </c>
    </row>
    <row r="106" spans="1:8" ht="15">
      <c r="A106" s="22"/>
      <c r="B106" s="34" t="s">
        <v>353</v>
      </c>
      <c r="C106" s="89"/>
      <c r="D106" s="90">
        <v>50110</v>
      </c>
      <c r="E106" s="90">
        <v>49000</v>
      </c>
      <c r="F106" s="90"/>
      <c r="G106" s="45">
        <f>48110+500.81</f>
        <v>48610.81</v>
      </c>
      <c r="H106" s="45">
        <v>0</v>
      </c>
    </row>
    <row r="107" spans="1:8" ht="30">
      <c r="A107" s="22"/>
      <c r="B107" s="23" t="s">
        <v>354</v>
      </c>
      <c r="C107" s="89"/>
      <c r="D107" s="90">
        <v>793080</v>
      </c>
      <c r="E107" s="90">
        <v>714930</v>
      </c>
      <c r="F107" s="90"/>
      <c r="G107" s="45">
        <f>603282.21+74258.71+37375.58</f>
        <v>714916.4999999999</v>
      </c>
      <c r="H107" s="45">
        <v>37375.58</v>
      </c>
    </row>
    <row r="108" spans="1:8" ht="16.5" customHeight="1">
      <c r="A108" s="22"/>
      <c r="B108" s="35" t="s">
        <v>355</v>
      </c>
      <c r="C108" s="89"/>
      <c r="D108" s="90"/>
      <c r="E108" s="90"/>
      <c r="F108" s="90"/>
      <c r="G108" s="45"/>
      <c r="H108" s="45"/>
    </row>
    <row r="109" spans="1:8" ht="15">
      <c r="A109" s="22"/>
      <c r="B109" s="35" t="s">
        <v>356</v>
      </c>
      <c r="C109" s="89"/>
      <c r="D109" s="90">
        <v>25059030</v>
      </c>
      <c r="E109" s="90">
        <v>20721420</v>
      </c>
      <c r="F109" s="90"/>
      <c r="G109" s="96">
        <f>15897956.72+2349589.14+2473865.82</f>
        <v>20721411.68</v>
      </c>
      <c r="H109" s="96">
        <f>1384946.8+1088919.02</f>
        <v>2473865.8200000003</v>
      </c>
    </row>
    <row r="110" spans="1:8" ht="16.5" customHeight="1">
      <c r="A110" s="22"/>
      <c r="B110" s="36" t="s">
        <v>357</v>
      </c>
      <c r="C110" s="89">
        <f aca="true" t="shared" si="36" ref="C110:H110">C111+C112+C113</f>
        <v>0</v>
      </c>
      <c r="D110" s="89">
        <f t="shared" si="36"/>
        <v>15020940</v>
      </c>
      <c r="E110" s="89">
        <f t="shared" si="36"/>
        <v>13442660</v>
      </c>
      <c r="F110" s="89">
        <f t="shared" si="36"/>
        <v>0</v>
      </c>
      <c r="G110" s="89">
        <f t="shared" si="36"/>
        <v>13442660</v>
      </c>
      <c r="H110" s="89">
        <f t="shared" si="36"/>
        <v>1006990</v>
      </c>
    </row>
    <row r="111" spans="1:8" ht="16.5" customHeight="1">
      <c r="A111" s="22"/>
      <c r="B111" s="35" t="s">
        <v>358</v>
      </c>
      <c r="C111" s="89"/>
      <c r="D111" s="90">
        <v>15020940</v>
      </c>
      <c r="E111" s="90">
        <v>13442660</v>
      </c>
      <c r="F111" s="90"/>
      <c r="G111" s="45">
        <f>10772843.24+1662826.76+633541.37+373448.63</f>
        <v>13442660</v>
      </c>
      <c r="H111" s="45">
        <f>633541.37+373448.63</f>
        <v>1006990</v>
      </c>
    </row>
    <row r="112" spans="1:8" ht="15">
      <c r="A112" s="22"/>
      <c r="B112" s="35" t="s">
        <v>360</v>
      </c>
      <c r="C112" s="89"/>
      <c r="D112" s="90"/>
      <c r="E112" s="90"/>
      <c r="F112" s="90"/>
      <c r="G112" s="45"/>
      <c r="H112" s="45"/>
    </row>
    <row r="113" spans="1:8" ht="15">
      <c r="A113" s="22"/>
      <c r="B113" s="35" t="s">
        <v>361</v>
      </c>
      <c r="C113" s="89"/>
      <c r="D113" s="90"/>
      <c r="E113" s="90"/>
      <c r="F113" s="90"/>
      <c r="G113" s="45"/>
      <c r="H113" s="45"/>
    </row>
    <row r="114" spans="1:8" ht="15">
      <c r="A114" s="22"/>
      <c r="B114" s="24" t="s">
        <v>328</v>
      </c>
      <c r="C114" s="89"/>
      <c r="D114" s="90"/>
      <c r="E114" s="90"/>
      <c r="F114" s="90"/>
      <c r="G114" s="45">
        <v>-3674.58</v>
      </c>
      <c r="H114" s="45"/>
    </row>
    <row r="115" spans="1:8" ht="36" customHeight="1">
      <c r="A115" s="17" t="s">
        <v>371</v>
      </c>
      <c r="B115" s="20" t="s">
        <v>362</v>
      </c>
      <c r="C115" s="89">
        <f aca="true" t="shared" si="37" ref="C115:H115">C116+C117+C118+C119+C120+C121+C122+C123+C124+C125</f>
        <v>0</v>
      </c>
      <c r="D115" s="89">
        <f t="shared" si="37"/>
        <v>4093890</v>
      </c>
      <c r="E115" s="89">
        <f t="shared" si="37"/>
        <v>3949840</v>
      </c>
      <c r="F115" s="89">
        <f t="shared" si="37"/>
        <v>0</v>
      </c>
      <c r="G115" s="89">
        <f t="shared" si="37"/>
        <v>3949522.22</v>
      </c>
      <c r="H115" s="89">
        <f t="shared" si="37"/>
        <v>306496</v>
      </c>
    </row>
    <row r="116" spans="1:8" ht="15">
      <c r="A116" s="22"/>
      <c r="B116" s="23" t="s">
        <v>352</v>
      </c>
      <c r="C116" s="89"/>
      <c r="D116" s="90">
        <v>2490280</v>
      </c>
      <c r="E116" s="90">
        <v>2270590</v>
      </c>
      <c r="F116" s="90"/>
      <c r="G116" s="45">
        <f>1884630.59+179563.64+206376</f>
        <v>2270570.23</v>
      </c>
      <c r="H116" s="45">
        <v>206376</v>
      </c>
    </row>
    <row r="117" spans="1:8" ht="30">
      <c r="A117" s="22"/>
      <c r="B117" s="37" t="s">
        <v>363</v>
      </c>
      <c r="C117" s="89"/>
      <c r="D117" s="90">
        <v>20000</v>
      </c>
      <c r="E117" s="90">
        <v>30000</v>
      </c>
      <c r="F117" s="90"/>
      <c r="G117" s="45">
        <v>29701.99</v>
      </c>
      <c r="H117" s="45">
        <v>0</v>
      </c>
    </row>
    <row r="118" spans="1:8" ht="16.5" customHeight="1">
      <c r="A118" s="22"/>
      <c r="B118" s="38" t="s">
        <v>364</v>
      </c>
      <c r="C118" s="89"/>
      <c r="D118" s="90">
        <v>1583610</v>
      </c>
      <c r="E118" s="90">
        <v>1649250</v>
      </c>
      <c r="F118" s="90"/>
      <c r="G118" s="45">
        <f>1233880+315250+100120</f>
        <v>1649250</v>
      </c>
      <c r="H118" s="45">
        <v>100120</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ht="15">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row>
    <row r="126" spans="1:8" s="19" customFormat="1" ht="15">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ht="15">
      <c r="A130" s="22"/>
      <c r="B130" s="24" t="s">
        <v>328</v>
      </c>
      <c r="C130" s="89"/>
      <c r="D130" s="90"/>
      <c r="E130" s="90"/>
      <c r="F130" s="90"/>
      <c r="G130" s="97"/>
      <c r="H130" s="97"/>
    </row>
    <row r="131" spans="1:8" s="19" customFormat="1" ht="15">
      <c r="A131" s="22" t="s">
        <v>384</v>
      </c>
      <c r="B131" s="24" t="s">
        <v>376</v>
      </c>
      <c r="C131" s="87"/>
      <c r="D131" s="90">
        <v>25866990</v>
      </c>
      <c r="E131" s="90">
        <v>22805790</v>
      </c>
      <c r="F131" s="90"/>
      <c r="G131" s="45">
        <f>18541410.76+2014730+2249649.24</f>
        <v>22805790</v>
      </c>
      <c r="H131" s="45">
        <v>2249649.24</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4480000</v>
      </c>
      <c r="E133" s="90">
        <v>4180000</v>
      </c>
      <c r="F133" s="90"/>
      <c r="G133" s="94">
        <f>2895000+829701.37</f>
        <v>3724701.37</v>
      </c>
      <c r="H133" s="94">
        <v>829701.37</v>
      </c>
    </row>
    <row r="134" spans="1:8" s="19" customFormat="1" ht="16.5" customHeight="1">
      <c r="A134" s="22"/>
      <c r="B134" s="24" t="s">
        <v>328</v>
      </c>
      <c r="C134" s="89"/>
      <c r="D134" s="90"/>
      <c r="E134" s="90"/>
      <c r="F134" s="90"/>
      <c r="G134" s="94"/>
      <c r="H134" s="94"/>
    </row>
    <row r="135" spans="1:8" ht="16.5" customHeight="1">
      <c r="A135" s="17" t="s">
        <v>388</v>
      </c>
      <c r="B135" s="20" t="s">
        <v>378</v>
      </c>
      <c r="C135" s="88">
        <f aca="true" t="shared" si="39" ref="C135:H135">+C136+C143+C145+C149+C155</f>
        <v>0</v>
      </c>
      <c r="D135" s="88">
        <f t="shared" si="39"/>
        <v>90606410</v>
      </c>
      <c r="E135" s="88">
        <f t="shared" si="39"/>
        <v>91076050</v>
      </c>
      <c r="F135" s="88">
        <f t="shared" si="39"/>
        <v>0</v>
      </c>
      <c r="G135" s="88">
        <f t="shared" si="39"/>
        <v>82423047.49</v>
      </c>
      <c r="H135" s="88">
        <f t="shared" si="39"/>
        <v>8187718.860000001</v>
      </c>
    </row>
    <row r="136" spans="1:8" ht="16.5" customHeight="1">
      <c r="A136" s="17" t="s">
        <v>390</v>
      </c>
      <c r="B136" s="20" t="s">
        <v>379</v>
      </c>
      <c r="C136" s="87">
        <f aca="true" t="shared" si="40" ref="C136:H136">+C137+C140+C141</f>
        <v>0</v>
      </c>
      <c r="D136" s="87">
        <f t="shared" si="40"/>
        <v>55595000</v>
      </c>
      <c r="E136" s="87">
        <f t="shared" si="40"/>
        <v>55300000</v>
      </c>
      <c r="F136" s="87">
        <f t="shared" si="40"/>
        <v>0</v>
      </c>
      <c r="G136" s="87">
        <f t="shared" si="40"/>
        <v>51043076.08</v>
      </c>
      <c r="H136" s="87">
        <f t="shared" si="40"/>
        <v>4778284.61</v>
      </c>
    </row>
    <row r="137" spans="1:8" s="19" customFormat="1" ht="16.5" customHeight="1">
      <c r="A137" s="22"/>
      <c r="B137" s="42" t="s">
        <v>380</v>
      </c>
      <c r="C137" s="89"/>
      <c r="D137" s="90">
        <v>52730000</v>
      </c>
      <c r="E137" s="90">
        <v>52552000</v>
      </c>
      <c r="F137" s="90"/>
      <c r="G137" s="45">
        <f>21127817.85+22869098.56+4550045.61</f>
        <v>48546962.019999996</v>
      </c>
      <c r="H137" s="45">
        <v>4550045.61</v>
      </c>
    </row>
    <row r="138" spans="1:8" s="19" customFormat="1" ht="16.5" customHeight="1">
      <c r="A138" s="22"/>
      <c r="B138" s="85" t="s">
        <v>381</v>
      </c>
      <c r="C138" s="89"/>
      <c r="D138" s="90">
        <v>26730000</v>
      </c>
      <c r="E138" s="90">
        <v>26000000</v>
      </c>
      <c r="F138" s="90"/>
      <c r="G138" s="45">
        <f>19036496.23+2091321.62+2169919.82</f>
        <v>23297737.67</v>
      </c>
      <c r="H138" s="45">
        <v>2169919.82</v>
      </c>
    </row>
    <row r="139" spans="1:8" s="19" customFormat="1" ht="16.5" customHeight="1">
      <c r="A139" s="22"/>
      <c r="B139" s="85" t="s">
        <v>382</v>
      </c>
      <c r="C139" s="89"/>
      <c r="D139" s="90">
        <v>26000000</v>
      </c>
      <c r="E139" s="90">
        <v>26552000</v>
      </c>
      <c r="F139" s="90"/>
      <c r="G139" s="45">
        <f>20462498.37+2406600.19+2380125.79</f>
        <v>25249224.35</v>
      </c>
      <c r="H139" s="45">
        <v>2380125.79</v>
      </c>
    </row>
    <row r="140" spans="1:8" s="19" customFormat="1" ht="16.5" customHeight="1">
      <c r="A140" s="22"/>
      <c r="B140" s="42" t="s">
        <v>383</v>
      </c>
      <c r="C140" s="89"/>
      <c r="D140" s="90">
        <v>2759000</v>
      </c>
      <c r="E140" s="90">
        <v>2748000</v>
      </c>
      <c r="F140" s="90"/>
      <c r="G140" s="23">
        <f>2048810.06+219065+228239</f>
        <v>2496114.06</v>
      </c>
      <c r="H140" s="23">
        <v>228239</v>
      </c>
    </row>
    <row r="141" spans="1:8" s="19" customFormat="1" ht="45">
      <c r="A141" s="22"/>
      <c r="B141" s="42" t="s">
        <v>486</v>
      </c>
      <c r="C141" s="89"/>
      <c r="D141" s="90">
        <v>106000</v>
      </c>
      <c r="E141" s="90"/>
      <c r="F141" s="90"/>
      <c r="G141" s="23"/>
      <c r="H141" s="23"/>
    </row>
    <row r="142" spans="1:8" s="19" customFormat="1" ht="16.5" customHeight="1">
      <c r="A142" s="22"/>
      <c r="B142" s="24" t="s">
        <v>328</v>
      </c>
      <c r="C142" s="89"/>
      <c r="D142" s="90"/>
      <c r="E142" s="90"/>
      <c r="F142" s="90"/>
      <c r="G142" s="23">
        <f>-5482.78-48.51</f>
        <v>-5531.29</v>
      </c>
      <c r="H142" s="23">
        <v>0</v>
      </c>
    </row>
    <row r="143" spans="1:8" s="19" customFormat="1" ht="16.5" customHeight="1">
      <c r="A143" s="22" t="s">
        <v>396</v>
      </c>
      <c r="B143" s="43" t="s">
        <v>385</v>
      </c>
      <c r="C143" s="89"/>
      <c r="D143" s="90">
        <v>20316000</v>
      </c>
      <c r="E143" s="90">
        <v>20974000</v>
      </c>
      <c r="F143" s="90"/>
      <c r="G143" s="89">
        <f>14908254.29+1500005.71+1995150.58</f>
        <v>18403410.58</v>
      </c>
      <c r="H143" s="89">
        <v>1995150.58</v>
      </c>
    </row>
    <row r="144" spans="1:8" s="19" customFormat="1" ht="16.5" customHeight="1">
      <c r="A144" s="22"/>
      <c r="B144" s="24" t="s">
        <v>328</v>
      </c>
      <c r="C144" s="89"/>
      <c r="D144" s="90"/>
      <c r="E144" s="90"/>
      <c r="F144" s="90"/>
      <c r="G144" s="23">
        <v>-2024.63</v>
      </c>
      <c r="H144" s="23"/>
    </row>
    <row r="145" spans="1:8" s="19" customFormat="1" ht="16.5" customHeight="1">
      <c r="A145" s="17" t="s">
        <v>398</v>
      </c>
      <c r="B145" s="44" t="s">
        <v>387</v>
      </c>
      <c r="C145" s="89">
        <f aca="true" t="shared" si="41" ref="C145:H145">+C146+C147</f>
        <v>0</v>
      </c>
      <c r="D145" s="89">
        <f t="shared" si="41"/>
        <v>604000</v>
      </c>
      <c r="E145" s="89">
        <f t="shared" si="41"/>
        <v>605000</v>
      </c>
      <c r="F145" s="89">
        <f t="shared" si="41"/>
        <v>0</v>
      </c>
      <c r="G145" s="89">
        <f t="shared" si="41"/>
        <v>549107.6</v>
      </c>
      <c r="H145" s="89">
        <f t="shared" si="41"/>
        <v>56028.4</v>
      </c>
    </row>
    <row r="146" spans="1:8" s="19" customFormat="1" ht="16.5" customHeight="1">
      <c r="A146" s="22"/>
      <c r="B146" s="42" t="s">
        <v>380</v>
      </c>
      <c r="C146" s="89"/>
      <c r="D146" s="90">
        <v>604000</v>
      </c>
      <c r="E146" s="90">
        <v>605000</v>
      </c>
      <c r="F146" s="90"/>
      <c r="G146" s="45">
        <f>438330+54749.2+56028.4</f>
        <v>549107.6</v>
      </c>
      <c r="H146" s="45">
        <v>56028.4</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v>-20</v>
      </c>
      <c r="H148" s="45">
        <v>0</v>
      </c>
    </row>
    <row r="149" spans="1:8" ht="16.5" customHeight="1">
      <c r="A149" s="17" t="s">
        <v>400</v>
      </c>
      <c r="B149" s="44" t="s">
        <v>391</v>
      </c>
      <c r="C149" s="87">
        <f aca="true" t="shared" si="42" ref="C149:H149">+C150+C151+C152+C153</f>
        <v>0</v>
      </c>
      <c r="D149" s="87">
        <f t="shared" si="42"/>
        <v>11802410</v>
      </c>
      <c r="E149" s="87">
        <f t="shared" si="42"/>
        <v>11898050</v>
      </c>
      <c r="F149" s="87">
        <f t="shared" si="42"/>
        <v>0</v>
      </c>
      <c r="G149" s="87">
        <f t="shared" si="42"/>
        <v>10373256.23</v>
      </c>
      <c r="H149" s="87">
        <f t="shared" si="42"/>
        <v>1129972.77</v>
      </c>
    </row>
    <row r="150" spans="1:8" ht="15">
      <c r="A150" s="22"/>
      <c r="B150" s="23" t="s">
        <v>392</v>
      </c>
      <c r="C150" s="89"/>
      <c r="D150" s="90">
        <v>11771510</v>
      </c>
      <c r="E150" s="90">
        <v>11865510</v>
      </c>
      <c r="F150" s="90"/>
      <c r="G150" s="45">
        <f>8237640+975323.46+1127752.77</f>
        <v>10340716.23</v>
      </c>
      <c r="H150" s="45">
        <v>1127752.77</v>
      </c>
    </row>
    <row r="151" spans="1:8" ht="30">
      <c r="A151" s="22"/>
      <c r="B151" s="23" t="s">
        <v>393</v>
      </c>
      <c r="C151" s="89"/>
      <c r="D151" s="90"/>
      <c r="E151" s="90"/>
      <c r="F151" s="90"/>
      <c r="G151" s="45"/>
      <c r="H151" s="45"/>
    </row>
    <row r="152" spans="1:8" ht="30">
      <c r="A152" s="22"/>
      <c r="B152" s="23" t="s">
        <v>394</v>
      </c>
      <c r="C152" s="89"/>
      <c r="D152" s="90">
        <v>30900</v>
      </c>
      <c r="E152" s="90">
        <v>32540</v>
      </c>
      <c r="F152" s="90"/>
      <c r="G152" s="45">
        <f>27640+2680+2220</f>
        <v>32540</v>
      </c>
      <c r="H152" s="45">
        <v>2220</v>
      </c>
    </row>
    <row r="153" spans="1:8" s="19" customFormat="1" ht="30">
      <c r="A153" s="22"/>
      <c r="B153" s="23" t="s">
        <v>395</v>
      </c>
      <c r="C153" s="89"/>
      <c r="D153" s="90"/>
      <c r="E153" s="90"/>
      <c r="F153" s="90"/>
      <c r="G153" s="45"/>
      <c r="H153" s="45"/>
    </row>
    <row r="154" spans="1:8" ht="15">
      <c r="A154" s="22"/>
      <c r="B154" s="24" t="s">
        <v>328</v>
      </c>
      <c r="C154" s="89"/>
      <c r="D154" s="90"/>
      <c r="E154" s="90"/>
      <c r="F154" s="90"/>
      <c r="G154" s="45">
        <v>-2169.2</v>
      </c>
      <c r="H154" s="45"/>
    </row>
    <row r="155" spans="1:8" ht="16.5" customHeight="1">
      <c r="A155" s="17" t="s">
        <v>405</v>
      </c>
      <c r="B155" s="44" t="s">
        <v>397</v>
      </c>
      <c r="C155" s="89">
        <f aca="true" t="shared" si="43" ref="C155:H155">+C156+C157</f>
        <v>0</v>
      </c>
      <c r="D155" s="89">
        <f t="shared" si="43"/>
        <v>2289000</v>
      </c>
      <c r="E155" s="89">
        <f t="shared" si="43"/>
        <v>2299000</v>
      </c>
      <c r="F155" s="89">
        <f t="shared" si="43"/>
        <v>0</v>
      </c>
      <c r="G155" s="89">
        <f t="shared" si="43"/>
        <v>2054197</v>
      </c>
      <c r="H155" s="89">
        <f t="shared" si="43"/>
        <v>228282.5</v>
      </c>
    </row>
    <row r="156" spans="1:8" ht="16.5" customHeight="1">
      <c r="A156" s="17"/>
      <c r="B156" s="42" t="s">
        <v>380</v>
      </c>
      <c r="C156" s="89"/>
      <c r="D156" s="90">
        <v>2289000</v>
      </c>
      <c r="E156" s="90">
        <v>2299000</v>
      </c>
      <c r="F156" s="90"/>
      <c r="G156" s="45">
        <f>1576170+249744.5+228282.5</f>
        <v>2054197</v>
      </c>
      <c r="H156" s="45">
        <v>228282.5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26560</v>
      </c>
      <c r="E159" s="90">
        <v>37560</v>
      </c>
      <c r="F159" s="90"/>
      <c r="G159" s="96">
        <f>29371.61+1805.04</f>
        <v>31176.65</v>
      </c>
      <c r="H159" s="96">
        <v>0</v>
      </c>
    </row>
    <row r="160" spans="1:8" ht="16.5" customHeight="1">
      <c r="A160" s="17"/>
      <c r="B160" s="24" t="s">
        <v>328</v>
      </c>
      <c r="C160" s="89"/>
      <c r="D160" s="90"/>
      <c r="E160" s="90"/>
      <c r="F160" s="90"/>
      <c r="G160" s="96"/>
      <c r="H160" s="96"/>
    </row>
    <row r="161" spans="1:8" ht="16.5" customHeight="1">
      <c r="A161" s="17" t="s">
        <v>410</v>
      </c>
      <c r="B161" s="20" t="s">
        <v>401</v>
      </c>
      <c r="C161" s="88">
        <f aca="true" t="shared" si="44" ref="C161:H161">+C162+C168</f>
        <v>0</v>
      </c>
      <c r="D161" s="88">
        <f t="shared" si="44"/>
        <v>252489420</v>
      </c>
      <c r="E161" s="88">
        <f t="shared" si="44"/>
        <v>246750880</v>
      </c>
      <c r="F161" s="88">
        <f t="shared" si="44"/>
        <v>0</v>
      </c>
      <c r="G161" s="88">
        <f t="shared" si="44"/>
        <v>226497991.86</v>
      </c>
      <c r="H161" s="88">
        <f t="shared" si="44"/>
        <v>25041942.15</v>
      </c>
    </row>
    <row r="162" spans="1:8" ht="16.5" customHeight="1">
      <c r="A162" s="22" t="s">
        <v>412</v>
      </c>
      <c r="B162" s="20" t="s">
        <v>402</v>
      </c>
      <c r="C162" s="89">
        <f aca="true" t="shared" si="45" ref="C162:H162">C163+C165+C164+C166</f>
        <v>0</v>
      </c>
      <c r="D162" s="89">
        <f t="shared" si="45"/>
        <v>243738420</v>
      </c>
      <c r="E162" s="89">
        <f t="shared" si="45"/>
        <v>238160880</v>
      </c>
      <c r="F162" s="89">
        <f t="shared" si="45"/>
        <v>0</v>
      </c>
      <c r="G162" s="89">
        <f t="shared" si="45"/>
        <v>219459843.15</v>
      </c>
      <c r="H162" s="89">
        <f t="shared" si="45"/>
        <v>24499983.15</v>
      </c>
    </row>
    <row r="163" spans="1:8" ht="15">
      <c r="A163" s="22"/>
      <c r="B163" s="23" t="s">
        <v>336</v>
      </c>
      <c r="C163" s="89"/>
      <c r="D163" s="90">
        <v>243738420</v>
      </c>
      <c r="E163" s="90">
        <v>238160880</v>
      </c>
      <c r="F163" s="90"/>
      <c r="G163" s="45">
        <f>169959860+25000000+24499983.15</f>
        <v>219459843.15</v>
      </c>
      <c r="H163" s="45">
        <v>24499983.15</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ht="15">
      <c r="A166" s="22"/>
      <c r="B166" s="47" t="s">
        <v>406</v>
      </c>
      <c r="C166" s="89"/>
      <c r="D166" s="90"/>
      <c r="E166" s="90"/>
      <c r="F166" s="90"/>
      <c r="G166" s="45"/>
      <c r="H166" s="45"/>
    </row>
    <row r="167" spans="1:8" ht="15">
      <c r="A167" s="22"/>
      <c r="B167" s="24" t="s">
        <v>328</v>
      </c>
      <c r="C167" s="89"/>
      <c r="D167" s="90"/>
      <c r="E167" s="90"/>
      <c r="F167" s="90"/>
      <c r="G167" s="45">
        <f>-121107.91-2930.4</f>
        <v>-124038.31</v>
      </c>
      <c r="H167" s="45">
        <v>-2930.4</v>
      </c>
    </row>
    <row r="168" spans="1:8" ht="16.5" customHeight="1">
      <c r="A168" s="22" t="s">
        <v>416</v>
      </c>
      <c r="B168" s="20" t="s">
        <v>407</v>
      </c>
      <c r="C168" s="89">
        <f aca="true" t="shared" si="46" ref="C168:H168">C169+C170</f>
        <v>0</v>
      </c>
      <c r="D168" s="89">
        <f t="shared" si="46"/>
        <v>8751000</v>
      </c>
      <c r="E168" s="89">
        <f t="shared" si="46"/>
        <v>8590000</v>
      </c>
      <c r="F168" s="89">
        <f t="shared" si="46"/>
        <v>0</v>
      </c>
      <c r="G168" s="89">
        <f t="shared" si="46"/>
        <v>7038148.71</v>
      </c>
      <c r="H168" s="89">
        <f t="shared" si="46"/>
        <v>541959</v>
      </c>
    </row>
    <row r="169" spans="1:8" ht="16.5" customHeight="1">
      <c r="A169" s="22"/>
      <c r="B169" s="23" t="s">
        <v>336</v>
      </c>
      <c r="C169" s="89"/>
      <c r="D169" s="90">
        <v>8751000</v>
      </c>
      <c r="E169" s="90">
        <v>8590000</v>
      </c>
      <c r="F169" s="90"/>
      <c r="G169" s="45">
        <f>6108142.71+388047+541959</f>
        <v>7038148.71</v>
      </c>
      <c r="H169" s="45">
        <v>541959</v>
      </c>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v>0</v>
      </c>
      <c r="H171" s="45">
        <v>0</v>
      </c>
    </row>
    <row r="172" spans="1:8" ht="16.5" customHeight="1">
      <c r="A172" s="17" t="s">
        <v>419</v>
      </c>
      <c r="B172" s="24" t="s">
        <v>411</v>
      </c>
      <c r="C172" s="89"/>
      <c r="D172" s="90"/>
      <c r="E172" s="90"/>
      <c r="F172" s="90"/>
      <c r="G172" s="45"/>
      <c r="H172" s="45"/>
    </row>
    <row r="173" spans="1:8" ht="16.5" customHeight="1">
      <c r="A173" s="17"/>
      <c r="B173" s="24" t="s">
        <v>328</v>
      </c>
      <c r="C173" s="89"/>
      <c r="D173" s="90"/>
      <c r="E173" s="90"/>
      <c r="F173" s="90"/>
      <c r="G173" s="45"/>
      <c r="H173" s="45"/>
    </row>
    <row r="174" spans="1:8" ht="16.5" customHeight="1">
      <c r="A174" s="17" t="s">
        <v>420</v>
      </c>
      <c r="B174" s="24" t="s">
        <v>413</v>
      </c>
      <c r="C174" s="89"/>
      <c r="D174" s="90">
        <v>8453750</v>
      </c>
      <c r="E174" s="90">
        <v>8453750</v>
      </c>
      <c r="F174" s="90"/>
      <c r="G174" s="45">
        <f>3403209.17+1679731.56+2168159.95</f>
        <v>7251100.680000001</v>
      </c>
      <c r="H174" s="45">
        <v>2168159.95</v>
      </c>
    </row>
    <row r="175" spans="1:8" ht="16.5" customHeight="1">
      <c r="A175" s="17"/>
      <c r="B175" s="24" t="s">
        <v>328</v>
      </c>
      <c r="C175" s="89"/>
      <c r="D175" s="90"/>
      <c r="E175" s="90"/>
      <c r="F175" s="90"/>
      <c r="G175" s="45">
        <v>-66822.11</v>
      </c>
      <c r="H175" s="45"/>
    </row>
    <row r="176" spans="1:8" ht="15">
      <c r="A176" s="17"/>
      <c r="B176" s="20" t="s">
        <v>414</v>
      </c>
      <c r="C176" s="89">
        <f aca="true" t="shared" si="47" ref="C176:H176">C88+C100+C114+C130+C132+C134+C142+C144+C148+C154+C158+C160+C167+C171+C173+C175</f>
        <v>0</v>
      </c>
      <c r="D176" s="89">
        <f t="shared" si="47"/>
        <v>0</v>
      </c>
      <c r="E176" s="89">
        <f t="shared" si="47"/>
        <v>0</v>
      </c>
      <c r="F176" s="89">
        <f t="shared" si="47"/>
        <v>0</v>
      </c>
      <c r="G176" s="89">
        <f t="shared" si="47"/>
        <v>-204280.12</v>
      </c>
      <c r="H176" s="89">
        <f t="shared" si="47"/>
        <v>-2930.4</v>
      </c>
    </row>
    <row r="177" spans="1:8" ht="30">
      <c r="A177" s="17" t="s">
        <v>208</v>
      </c>
      <c r="B177" s="20" t="s">
        <v>193</v>
      </c>
      <c r="C177" s="89">
        <f aca="true" t="shared" si="48" ref="C177:H177">C178</f>
        <v>0</v>
      </c>
      <c r="D177" s="89">
        <f t="shared" si="48"/>
        <v>270409640</v>
      </c>
      <c r="E177" s="89">
        <f t="shared" si="48"/>
        <v>270409640</v>
      </c>
      <c r="F177" s="89">
        <f t="shared" si="48"/>
        <v>0</v>
      </c>
      <c r="G177" s="89">
        <f t="shared" si="48"/>
        <v>269879764</v>
      </c>
      <c r="H177" s="89">
        <f t="shared" si="48"/>
        <v>24640216</v>
      </c>
    </row>
    <row r="178" spans="1:8" ht="15">
      <c r="A178" s="17" t="s">
        <v>424</v>
      </c>
      <c r="B178" s="20" t="s">
        <v>415</v>
      </c>
      <c r="C178" s="89">
        <f aca="true" t="shared" si="49" ref="C178:H178">C179+C188</f>
        <v>0</v>
      </c>
      <c r="D178" s="89">
        <f t="shared" si="49"/>
        <v>270409640</v>
      </c>
      <c r="E178" s="89">
        <f t="shared" si="49"/>
        <v>270409640</v>
      </c>
      <c r="F178" s="89">
        <f t="shared" si="49"/>
        <v>0</v>
      </c>
      <c r="G178" s="89">
        <f t="shared" si="49"/>
        <v>269879764</v>
      </c>
      <c r="H178" s="89">
        <f t="shared" si="49"/>
        <v>24640216</v>
      </c>
    </row>
    <row r="179" spans="1:8" ht="45">
      <c r="A179" s="17" t="s">
        <v>426</v>
      </c>
      <c r="B179" s="20" t="s">
        <v>417</v>
      </c>
      <c r="C179" s="89">
        <f aca="true" t="shared" si="50" ref="C179:H179">C180+C183+C186+C181+C182+C187</f>
        <v>0</v>
      </c>
      <c r="D179" s="89">
        <f t="shared" si="50"/>
        <v>263339640</v>
      </c>
      <c r="E179" s="89">
        <f t="shared" si="50"/>
        <v>263339640</v>
      </c>
      <c r="F179" s="89">
        <f t="shared" si="50"/>
        <v>0</v>
      </c>
      <c r="G179" s="89">
        <f t="shared" si="50"/>
        <v>262902264</v>
      </c>
      <c r="H179" s="89">
        <f t="shared" si="50"/>
        <v>24640216</v>
      </c>
    </row>
    <row r="180" spans="1:8" ht="30">
      <c r="A180" s="17"/>
      <c r="B180" s="24" t="s">
        <v>487</v>
      </c>
      <c r="C180" s="89"/>
      <c r="D180" s="90">
        <v>243486320</v>
      </c>
      <c r="E180" s="90">
        <v>243486320</v>
      </c>
      <c r="F180" s="90"/>
      <c r="G180" s="89">
        <f>198042251+22765748+22678321</f>
        <v>243486320</v>
      </c>
      <c r="H180" s="89">
        <v>22678321</v>
      </c>
    </row>
    <row r="181" spans="1:8" ht="45">
      <c r="A181" s="17"/>
      <c r="B181" s="24" t="s">
        <v>488</v>
      </c>
      <c r="C181" s="89"/>
      <c r="D181" s="90">
        <v>362820</v>
      </c>
      <c r="E181" s="90">
        <v>362820</v>
      </c>
      <c r="F181" s="90"/>
      <c r="G181" s="89">
        <f>186669+176151</f>
        <v>362820</v>
      </c>
      <c r="H181" s="89">
        <v>176151</v>
      </c>
    </row>
    <row r="182" spans="1:8" ht="45">
      <c r="A182" s="17"/>
      <c r="B182" s="24" t="s">
        <v>489</v>
      </c>
      <c r="C182" s="89"/>
      <c r="D182" s="90">
        <v>122160</v>
      </c>
      <c r="E182" s="90">
        <v>122160</v>
      </c>
      <c r="F182" s="90"/>
      <c r="G182" s="89">
        <f>55974+66180</f>
        <v>122154</v>
      </c>
      <c r="H182" s="89">
        <v>66180</v>
      </c>
    </row>
    <row r="183" spans="1:8" ht="45">
      <c r="A183" s="17"/>
      <c r="B183" s="24" t="s">
        <v>490</v>
      </c>
      <c r="C183" s="89">
        <f aca="true" t="shared" si="51" ref="C183:H183">C184+C185</f>
        <v>0</v>
      </c>
      <c r="D183" s="89">
        <f t="shared" si="51"/>
        <v>16514560</v>
      </c>
      <c r="E183" s="89">
        <f t="shared" si="51"/>
        <v>16514560</v>
      </c>
      <c r="F183" s="89">
        <f t="shared" si="51"/>
        <v>0</v>
      </c>
      <c r="G183" s="89">
        <f t="shared" si="51"/>
        <v>16077211</v>
      </c>
      <c r="H183" s="89">
        <f t="shared" si="51"/>
        <v>1703922</v>
      </c>
    </row>
    <row r="184" spans="1:8" ht="90">
      <c r="A184" s="17"/>
      <c r="B184" s="24" t="s">
        <v>418</v>
      </c>
      <c r="C184" s="89"/>
      <c r="D184" s="90">
        <v>9807000</v>
      </c>
      <c r="E184" s="90">
        <v>9807000</v>
      </c>
      <c r="F184" s="90"/>
      <c r="G184" s="89">
        <f>7696327+847996+825332</f>
        <v>9369655</v>
      </c>
      <c r="H184" s="89">
        <v>825332</v>
      </c>
    </row>
    <row r="185" spans="1:8" ht="75">
      <c r="A185" s="17"/>
      <c r="B185" s="24" t="s">
        <v>491</v>
      </c>
      <c r="C185" s="89"/>
      <c r="D185" s="90">
        <v>6707560</v>
      </c>
      <c r="E185" s="90">
        <v>6707560</v>
      </c>
      <c r="F185" s="90"/>
      <c r="G185" s="89">
        <f>4939722+889244+878590</f>
        <v>6707556</v>
      </c>
      <c r="H185" s="89">
        <v>878590</v>
      </c>
    </row>
    <row r="186" spans="1:8" ht="45">
      <c r="A186" s="17"/>
      <c r="B186" s="24" t="s">
        <v>492</v>
      </c>
      <c r="C186" s="89"/>
      <c r="D186" s="90">
        <v>2832550</v>
      </c>
      <c r="E186" s="90">
        <v>2832550</v>
      </c>
      <c r="F186" s="90"/>
      <c r="G186" s="89">
        <v>2832542</v>
      </c>
      <c r="H186" s="89"/>
    </row>
    <row r="187" spans="1:8" ht="45">
      <c r="A187" s="17"/>
      <c r="B187" s="24" t="s">
        <v>493</v>
      </c>
      <c r="C187" s="89"/>
      <c r="D187" s="90">
        <v>21230</v>
      </c>
      <c r="E187" s="90">
        <v>21230</v>
      </c>
      <c r="F187" s="90"/>
      <c r="G187" s="89">
        <f>5575+15642</f>
        <v>21217</v>
      </c>
      <c r="H187" s="89">
        <v>15642</v>
      </c>
    </row>
    <row r="188" spans="1:8" ht="15">
      <c r="A188" s="17" t="s">
        <v>432</v>
      </c>
      <c r="B188" s="20" t="s">
        <v>421</v>
      </c>
      <c r="C188" s="89"/>
      <c r="D188" s="90">
        <v>7070000</v>
      </c>
      <c r="E188" s="90">
        <v>7070000</v>
      </c>
      <c r="F188" s="90"/>
      <c r="G188" s="89">
        <v>6977500</v>
      </c>
      <c r="H188" s="89"/>
    </row>
    <row r="189" spans="1:8" ht="15">
      <c r="A189" s="17" t="s">
        <v>434</v>
      </c>
      <c r="B189" s="49" t="s">
        <v>422</v>
      </c>
      <c r="C189" s="93">
        <f>+C190</f>
        <v>0</v>
      </c>
      <c r="D189" s="93">
        <f aca="true" t="shared" si="52" ref="D189:H191">+D190</f>
        <v>41587940</v>
      </c>
      <c r="E189" s="93">
        <f t="shared" si="52"/>
        <v>41587940</v>
      </c>
      <c r="F189" s="93">
        <f t="shared" si="52"/>
        <v>0</v>
      </c>
      <c r="G189" s="93">
        <f t="shared" si="52"/>
        <v>38029705</v>
      </c>
      <c r="H189" s="93">
        <f t="shared" si="52"/>
        <v>142883</v>
      </c>
    </row>
    <row r="190" spans="1:8" ht="16.5" customHeight="1">
      <c r="A190" s="17" t="s">
        <v>436</v>
      </c>
      <c r="B190" s="49" t="s">
        <v>189</v>
      </c>
      <c r="C190" s="93">
        <f>+C191</f>
        <v>0</v>
      </c>
      <c r="D190" s="93">
        <f t="shared" si="52"/>
        <v>41587940</v>
      </c>
      <c r="E190" s="93">
        <f t="shared" si="52"/>
        <v>41587940</v>
      </c>
      <c r="F190" s="93">
        <f t="shared" si="52"/>
        <v>0</v>
      </c>
      <c r="G190" s="93">
        <f t="shared" si="52"/>
        <v>38029705</v>
      </c>
      <c r="H190" s="93">
        <f t="shared" si="52"/>
        <v>142883</v>
      </c>
    </row>
    <row r="191" spans="1:8" ht="16.5" customHeight="1">
      <c r="A191" s="17" t="s">
        <v>438</v>
      </c>
      <c r="B191" s="20" t="s">
        <v>423</v>
      </c>
      <c r="C191" s="93">
        <f>+C192</f>
        <v>0</v>
      </c>
      <c r="D191" s="93">
        <f t="shared" si="52"/>
        <v>41587940</v>
      </c>
      <c r="E191" s="93">
        <f t="shared" si="52"/>
        <v>41587940</v>
      </c>
      <c r="F191" s="93">
        <f t="shared" si="52"/>
        <v>0</v>
      </c>
      <c r="G191" s="93">
        <f t="shared" si="52"/>
        <v>38029705</v>
      </c>
      <c r="H191" s="93">
        <f t="shared" si="52"/>
        <v>142883</v>
      </c>
    </row>
    <row r="192" spans="1:8" ht="16.5" customHeight="1">
      <c r="A192" s="22" t="s">
        <v>440</v>
      </c>
      <c r="B192" s="49" t="s">
        <v>425</v>
      </c>
      <c r="C192" s="88">
        <f aca="true" t="shared" si="53" ref="C192:H192">C193</f>
        <v>0</v>
      </c>
      <c r="D192" s="88">
        <f t="shared" si="53"/>
        <v>41587940</v>
      </c>
      <c r="E192" s="88">
        <f t="shared" si="53"/>
        <v>41587940</v>
      </c>
      <c r="F192" s="88">
        <f t="shared" si="53"/>
        <v>0</v>
      </c>
      <c r="G192" s="88">
        <f t="shared" si="53"/>
        <v>38029705</v>
      </c>
      <c r="H192" s="88">
        <f t="shared" si="53"/>
        <v>142883</v>
      </c>
    </row>
    <row r="193" spans="1:8" ht="16.5" customHeight="1">
      <c r="A193" s="22" t="s">
        <v>442</v>
      </c>
      <c r="B193" s="49" t="s">
        <v>427</v>
      </c>
      <c r="C193" s="88">
        <f aca="true" t="shared" si="54" ref="C193:H193">C195+C196+C197</f>
        <v>0</v>
      </c>
      <c r="D193" s="88">
        <f t="shared" si="54"/>
        <v>41587940</v>
      </c>
      <c r="E193" s="88">
        <f t="shared" si="54"/>
        <v>41587940</v>
      </c>
      <c r="F193" s="88">
        <f t="shared" si="54"/>
        <v>0</v>
      </c>
      <c r="G193" s="88">
        <f t="shared" si="54"/>
        <v>38029705</v>
      </c>
      <c r="H193" s="88">
        <f t="shared" si="54"/>
        <v>142883</v>
      </c>
    </row>
    <row r="194" spans="1:8" ht="16.5" customHeight="1">
      <c r="A194" s="17" t="s">
        <v>444</v>
      </c>
      <c r="B194" s="49" t="s">
        <v>428</v>
      </c>
      <c r="C194" s="88">
        <f aca="true" t="shared" si="55" ref="C194:H194">C195</f>
        <v>0</v>
      </c>
      <c r="D194" s="88">
        <f t="shared" si="55"/>
        <v>31148000</v>
      </c>
      <c r="E194" s="88">
        <f t="shared" si="55"/>
        <v>31148000</v>
      </c>
      <c r="F194" s="88">
        <f t="shared" si="55"/>
        <v>0</v>
      </c>
      <c r="G194" s="88">
        <f t="shared" si="55"/>
        <v>28072924</v>
      </c>
      <c r="H194" s="88">
        <f t="shared" si="55"/>
        <v>93872</v>
      </c>
    </row>
    <row r="195" spans="1:8" ht="16.5" customHeight="1">
      <c r="A195" s="22" t="s">
        <v>446</v>
      </c>
      <c r="B195" s="50" t="s">
        <v>429</v>
      </c>
      <c r="C195" s="89"/>
      <c r="D195" s="90">
        <v>31148000</v>
      </c>
      <c r="E195" s="90">
        <v>31148000</v>
      </c>
      <c r="F195" s="90"/>
      <c r="G195" s="45">
        <f>26085338+1893714+93872</f>
        <v>28072924</v>
      </c>
      <c r="H195" s="45">
        <v>93872</v>
      </c>
    </row>
    <row r="196" spans="1:8" ht="16.5" customHeight="1">
      <c r="A196" s="22" t="s">
        <v>447</v>
      </c>
      <c r="B196" s="50" t="s">
        <v>430</v>
      </c>
      <c r="C196" s="89"/>
      <c r="D196" s="90">
        <v>10439940</v>
      </c>
      <c r="E196" s="90">
        <v>10439940</v>
      </c>
      <c r="F196" s="90"/>
      <c r="G196" s="45">
        <f>9593633+314137+49011</f>
        <v>9956781</v>
      </c>
      <c r="H196" s="45">
        <v>49011</v>
      </c>
    </row>
    <row r="197" spans="1:8" ht="16.5" customHeight="1">
      <c r="A197" s="22"/>
      <c r="B197" s="28" t="s">
        <v>431</v>
      </c>
      <c r="C197" s="89"/>
      <c r="D197" s="90"/>
      <c r="E197" s="90"/>
      <c r="F197" s="90"/>
      <c r="G197" s="45"/>
      <c r="H197" s="45"/>
    </row>
    <row r="198" spans="1:8" ht="30">
      <c r="A198" s="22" t="s">
        <v>211</v>
      </c>
      <c r="B198" s="51" t="s">
        <v>195</v>
      </c>
      <c r="C198" s="86">
        <f aca="true" t="shared" si="56" ref="C198:H198">C203+C199</f>
        <v>0</v>
      </c>
      <c r="D198" s="86">
        <f t="shared" si="56"/>
        <v>0</v>
      </c>
      <c r="E198" s="86">
        <f t="shared" si="56"/>
        <v>0</v>
      </c>
      <c r="F198" s="86">
        <f t="shared" si="56"/>
        <v>0</v>
      </c>
      <c r="G198" s="86">
        <f t="shared" si="56"/>
        <v>0</v>
      </c>
      <c r="H198" s="86">
        <f t="shared" si="56"/>
        <v>0</v>
      </c>
    </row>
    <row r="199" spans="1:8" ht="15">
      <c r="A199" s="22" t="s">
        <v>449</v>
      </c>
      <c r="B199" s="51" t="s">
        <v>433</v>
      </c>
      <c r="C199" s="86">
        <f aca="true" t="shared" si="57" ref="C199:H199">C200+C201+C202</f>
        <v>0</v>
      </c>
      <c r="D199" s="86">
        <f t="shared" si="57"/>
        <v>0</v>
      </c>
      <c r="E199" s="86">
        <f t="shared" si="57"/>
        <v>0</v>
      </c>
      <c r="F199" s="86">
        <f t="shared" si="57"/>
        <v>0</v>
      </c>
      <c r="G199" s="86">
        <f t="shared" si="57"/>
        <v>0</v>
      </c>
      <c r="H199" s="86">
        <f t="shared" si="57"/>
        <v>0</v>
      </c>
    </row>
    <row r="200" spans="1:8" ht="15">
      <c r="A200" s="22" t="s">
        <v>450</v>
      </c>
      <c r="B200" s="51" t="s">
        <v>435</v>
      </c>
      <c r="C200" s="86"/>
      <c r="D200" s="90"/>
      <c r="E200" s="90"/>
      <c r="F200" s="90"/>
      <c r="G200" s="86"/>
      <c r="H200" s="86"/>
    </row>
    <row r="201" spans="1:8" ht="15">
      <c r="A201" s="22" t="s">
        <v>451</v>
      </c>
      <c r="B201" s="51" t="s">
        <v>437</v>
      </c>
      <c r="C201" s="86"/>
      <c r="D201" s="90"/>
      <c r="E201" s="90"/>
      <c r="F201" s="90"/>
      <c r="G201" s="86"/>
      <c r="H201" s="86"/>
    </row>
    <row r="202" spans="1:8" ht="15">
      <c r="A202" s="22" t="s">
        <v>452</v>
      </c>
      <c r="B202" s="51" t="s">
        <v>439</v>
      </c>
      <c r="C202" s="86"/>
      <c r="D202" s="90"/>
      <c r="E202" s="90"/>
      <c r="F202" s="90"/>
      <c r="G202" s="86"/>
      <c r="H202" s="86"/>
    </row>
    <row r="203" spans="1:8" ht="15">
      <c r="A203" s="22" t="s">
        <v>453</v>
      </c>
      <c r="B203" s="51" t="s">
        <v>441</v>
      </c>
      <c r="C203" s="86">
        <f aca="true" t="shared" si="58" ref="C203:H203">C204+C205+C206</f>
        <v>0</v>
      </c>
      <c r="D203" s="86">
        <f t="shared" si="58"/>
        <v>0</v>
      </c>
      <c r="E203" s="86">
        <f t="shared" si="58"/>
        <v>0</v>
      </c>
      <c r="F203" s="86">
        <f t="shared" si="58"/>
        <v>0</v>
      </c>
      <c r="G203" s="86">
        <f t="shared" si="58"/>
        <v>0</v>
      </c>
      <c r="H203" s="86">
        <f t="shared" si="58"/>
        <v>0</v>
      </c>
    </row>
    <row r="204" spans="1:8" ht="15">
      <c r="A204" s="22" t="s">
        <v>454</v>
      </c>
      <c r="B204" s="52" t="s">
        <v>443</v>
      </c>
      <c r="C204" s="45"/>
      <c r="D204" s="90"/>
      <c r="E204" s="90"/>
      <c r="F204" s="90"/>
      <c r="G204" s="45"/>
      <c r="H204" s="45"/>
    </row>
    <row r="205" spans="1:8" ht="15">
      <c r="A205" s="22" t="s">
        <v>456</v>
      </c>
      <c r="B205" s="52" t="s">
        <v>445</v>
      </c>
      <c r="C205" s="45"/>
      <c r="D205" s="90"/>
      <c r="E205" s="90"/>
      <c r="F205" s="90"/>
      <c r="G205" s="45"/>
      <c r="H205" s="45"/>
    </row>
    <row r="206" spans="1:8" ht="15">
      <c r="A206" s="22" t="s">
        <v>458</v>
      </c>
      <c r="B206" s="52" t="s">
        <v>439</v>
      </c>
      <c r="C206" s="45"/>
      <c r="D206" s="90"/>
      <c r="E206" s="90"/>
      <c r="F206" s="90"/>
      <c r="G206" s="45"/>
      <c r="H206" s="45"/>
    </row>
    <row r="207" spans="1:8" ht="15">
      <c r="A207" s="22" t="s">
        <v>459</v>
      </c>
      <c r="B207" s="51" t="s">
        <v>448</v>
      </c>
      <c r="C207" s="86">
        <f>C208</f>
        <v>0</v>
      </c>
      <c r="D207" s="86">
        <f aca="true" t="shared" si="59" ref="D207:H208">D208</f>
        <v>0</v>
      </c>
      <c r="E207" s="86">
        <f t="shared" si="59"/>
        <v>0</v>
      </c>
      <c r="F207" s="86">
        <f t="shared" si="59"/>
        <v>0</v>
      </c>
      <c r="G207" s="86">
        <f t="shared" si="59"/>
        <v>0</v>
      </c>
      <c r="H207" s="86">
        <f t="shared" si="59"/>
        <v>0</v>
      </c>
    </row>
    <row r="208" spans="1:8" ht="15">
      <c r="A208" s="22" t="s">
        <v>460</v>
      </c>
      <c r="B208" s="51" t="s">
        <v>189</v>
      </c>
      <c r="C208" s="86">
        <f>C209</f>
        <v>0</v>
      </c>
      <c r="D208" s="86">
        <f t="shared" si="59"/>
        <v>0</v>
      </c>
      <c r="E208" s="86">
        <f t="shared" si="59"/>
        <v>0</v>
      </c>
      <c r="F208" s="86">
        <f t="shared" si="59"/>
        <v>0</v>
      </c>
      <c r="G208" s="86">
        <f t="shared" si="59"/>
        <v>0</v>
      </c>
      <c r="H208" s="86">
        <f t="shared" si="59"/>
        <v>0</v>
      </c>
    </row>
    <row r="209" spans="1:8" ht="30">
      <c r="A209" s="22" t="s">
        <v>461</v>
      </c>
      <c r="B209" s="51" t="s">
        <v>195</v>
      </c>
      <c r="C209" s="86">
        <f aca="true" t="shared" si="60" ref="C209:H209">C212</f>
        <v>0</v>
      </c>
      <c r="D209" s="86">
        <f t="shared" si="60"/>
        <v>0</v>
      </c>
      <c r="E209" s="86">
        <f t="shared" si="60"/>
        <v>0</v>
      </c>
      <c r="F209" s="86">
        <f t="shared" si="60"/>
        <v>0</v>
      </c>
      <c r="G209" s="86">
        <f t="shared" si="60"/>
        <v>0</v>
      </c>
      <c r="H209" s="86">
        <f t="shared" si="60"/>
        <v>0</v>
      </c>
    </row>
    <row r="210" spans="1:8" ht="15">
      <c r="A210" s="22" t="s">
        <v>462</v>
      </c>
      <c r="B210" s="51" t="s">
        <v>206</v>
      </c>
      <c r="C210" s="86">
        <f aca="true" t="shared" si="61" ref="C210:C215">C211</f>
        <v>0</v>
      </c>
      <c r="D210" s="86">
        <f aca="true" t="shared" si="62" ref="D210:H212">D211</f>
        <v>0</v>
      </c>
      <c r="E210" s="86">
        <f t="shared" si="62"/>
        <v>0</v>
      </c>
      <c r="F210" s="86">
        <f t="shared" si="62"/>
        <v>0</v>
      </c>
      <c r="G210" s="86">
        <f t="shared" si="62"/>
        <v>0</v>
      </c>
      <c r="H210" s="86">
        <f t="shared" si="62"/>
        <v>0</v>
      </c>
    </row>
    <row r="211" spans="1:8" ht="15">
      <c r="A211" s="22" t="s">
        <v>463</v>
      </c>
      <c r="B211" s="51" t="s">
        <v>189</v>
      </c>
      <c r="C211" s="86">
        <f t="shared" si="61"/>
        <v>0</v>
      </c>
      <c r="D211" s="86">
        <f t="shared" si="62"/>
        <v>0</v>
      </c>
      <c r="E211" s="86">
        <f t="shared" si="62"/>
        <v>0</v>
      </c>
      <c r="F211" s="86">
        <f t="shared" si="62"/>
        <v>0</v>
      </c>
      <c r="G211" s="86">
        <f t="shared" si="62"/>
        <v>0</v>
      </c>
      <c r="H211" s="86">
        <f t="shared" si="62"/>
        <v>0</v>
      </c>
    </row>
    <row r="212" spans="1:8" ht="30">
      <c r="A212" s="22" t="s">
        <v>464</v>
      </c>
      <c r="B212" s="52" t="s">
        <v>195</v>
      </c>
      <c r="C212" s="86">
        <f t="shared" si="61"/>
        <v>0</v>
      </c>
      <c r="D212" s="86">
        <f t="shared" si="62"/>
        <v>0</v>
      </c>
      <c r="E212" s="86">
        <f t="shared" si="62"/>
        <v>0</v>
      </c>
      <c r="F212" s="86">
        <f t="shared" si="62"/>
        <v>0</v>
      </c>
      <c r="G212" s="86">
        <f t="shared" si="62"/>
        <v>0</v>
      </c>
      <c r="H212" s="86">
        <f t="shared" si="62"/>
        <v>0</v>
      </c>
    </row>
    <row r="213" spans="1:8" ht="15">
      <c r="A213" s="22" t="s">
        <v>465</v>
      </c>
      <c r="B213" s="51" t="s">
        <v>441</v>
      </c>
      <c r="C213" s="86">
        <f t="shared" si="61"/>
        <v>0</v>
      </c>
      <c r="D213" s="86">
        <f aca="true" t="shared" si="63" ref="D213:H215">D214</f>
        <v>0</v>
      </c>
      <c r="E213" s="86">
        <f t="shared" si="63"/>
        <v>0</v>
      </c>
      <c r="F213" s="86">
        <f t="shared" si="63"/>
        <v>0</v>
      </c>
      <c r="G213" s="86">
        <f t="shared" si="63"/>
        <v>0</v>
      </c>
      <c r="H213" s="86">
        <f t="shared" si="63"/>
        <v>0</v>
      </c>
    </row>
    <row r="214" spans="1:8" ht="15">
      <c r="A214" s="22" t="s">
        <v>466</v>
      </c>
      <c r="B214" s="51" t="s">
        <v>445</v>
      </c>
      <c r="C214" s="86">
        <f t="shared" si="61"/>
        <v>0</v>
      </c>
      <c r="D214" s="86">
        <f t="shared" si="63"/>
        <v>0</v>
      </c>
      <c r="E214" s="86">
        <f t="shared" si="63"/>
        <v>0</v>
      </c>
      <c r="F214" s="86">
        <f t="shared" si="63"/>
        <v>0</v>
      </c>
      <c r="G214" s="86">
        <f t="shared" si="63"/>
        <v>0</v>
      </c>
      <c r="H214" s="86">
        <f t="shared" si="63"/>
        <v>0</v>
      </c>
    </row>
    <row r="215" spans="1:8" ht="15">
      <c r="A215" s="22" t="s">
        <v>467</v>
      </c>
      <c r="B215" s="51" t="s">
        <v>455</v>
      </c>
      <c r="C215" s="86">
        <f t="shared" si="61"/>
        <v>0</v>
      </c>
      <c r="D215" s="86">
        <f t="shared" si="63"/>
        <v>0</v>
      </c>
      <c r="E215" s="86">
        <f t="shared" si="63"/>
        <v>0</v>
      </c>
      <c r="F215" s="86">
        <f t="shared" si="63"/>
        <v>0</v>
      </c>
      <c r="G215" s="86">
        <f t="shared" si="63"/>
        <v>0</v>
      </c>
      <c r="H215" s="86">
        <f t="shared" si="63"/>
        <v>0</v>
      </c>
    </row>
    <row r="216" spans="1:8" ht="15">
      <c r="A216" s="22" t="s">
        <v>468</v>
      </c>
      <c r="B216" s="52" t="s">
        <v>457</v>
      </c>
      <c r="C216" s="45"/>
      <c r="D216" s="90"/>
      <c r="E216" s="90"/>
      <c r="F216" s="90"/>
      <c r="G216" s="45"/>
      <c r="H216" s="45"/>
    </row>
    <row r="218" spans="2:6" ht="15">
      <c r="B218" s="5" t="s">
        <v>494</v>
      </c>
      <c r="D218" s="46" t="s">
        <v>495</v>
      </c>
      <c r="E218" s="46"/>
      <c r="F218" s="5"/>
    </row>
    <row r="219" spans="2:6" ht="15">
      <c r="B219" s="5" t="s">
        <v>500</v>
      </c>
      <c r="D219" s="46" t="s">
        <v>497</v>
      </c>
      <c r="E219" s="46"/>
      <c r="F219" s="5"/>
    </row>
  </sheetData>
  <sheetProtection/>
  <protectedRanges>
    <protectedRange sqref="C1:C3 B3" name="Zonă1_1"/>
    <protectedRange sqref="G116:H124 G46:H51 G152:H154 G70:H70 G37:H40 G126:H130 G103:H108 G62:H66 G81:H85 G92:H93 G54:H57 G150:H150 G111:H114 G137:H139 G25:H33 G35:H35 G95:H100" name="Zonă3"/>
    <protectedRange sqref="B1" name="Zonă1_1_1_1_1_1"/>
  </protectedRanges>
  <printOptions horizontalCentered="1"/>
  <pageMargins left="0.75" right="0.75" top="0.21" bottom="0.18" header="0.17" footer="0.17"/>
  <pageSetup horizontalDpi="600" verticalDpi="600" orientation="portrait" scale="58" r:id="rId1"/>
  <rowBreaks count="1" manualBreakCount="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2020-12-15T09:23:18Z</cp:lastPrinted>
  <dcterms:created xsi:type="dcterms:W3CDTF">2020-08-07T11:14:11Z</dcterms:created>
  <dcterms:modified xsi:type="dcterms:W3CDTF">2020-12-15T09:23:21Z</dcterms:modified>
  <cp:category/>
  <cp:version/>
  <cp:contentType/>
  <cp:contentStatus/>
</cp:coreProperties>
</file>